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副業関連\7. ブートキャンプ (GBC)\1. 財務会計講座\第２回\"/>
    </mc:Choice>
  </mc:AlternateContent>
  <xr:revisionPtr revIDLastSave="0" documentId="13_ncr:1_{A8E31853-F49C-49C9-9DDA-9D52881CCEBB}" xr6:coauthVersionLast="36" xr6:coauthVersionMax="47" xr10:uidLastSave="{00000000-0000-0000-0000-000000000000}"/>
  <bookViews>
    <workbookView xWindow="0" yWindow="0" windowWidth="20490" windowHeight="7455" activeTab="3" xr2:uid="{6D9B11B9-033C-4FC2-A893-EE8C6256ABAE}"/>
  </bookViews>
  <sheets>
    <sheet name="収益性" sheetId="1" r:id="rId1"/>
    <sheet name="安全性" sheetId="2" r:id="rId2"/>
    <sheet name="成長性" sheetId="3" r:id="rId3"/>
    <sheet name="業界の比較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4" l="1"/>
  <c r="D43" i="4"/>
  <c r="D42" i="4"/>
  <c r="C41" i="4"/>
  <c r="A43" i="4"/>
  <c r="A37" i="4"/>
  <c r="A35" i="4"/>
  <c r="A34" i="4"/>
  <c r="A29" i="4"/>
  <c r="D29" i="4" s="1"/>
  <c r="D28" i="4"/>
  <c r="D30" i="4"/>
  <c r="C27" i="4"/>
  <c r="A36" i="4" l="1"/>
  <c r="D36" i="4" s="1"/>
  <c r="C34" i="4"/>
  <c r="D35" i="4"/>
  <c r="D37" i="4"/>
  <c r="C13" i="4"/>
  <c r="D14" i="4" s="1"/>
  <c r="C5" i="4"/>
  <c r="C4" i="4"/>
  <c r="G35" i="2"/>
  <c r="F35" i="2"/>
  <c r="E35" i="2"/>
  <c r="D35" i="2"/>
  <c r="G34" i="2"/>
  <c r="F34" i="2"/>
  <c r="E34" i="2"/>
  <c r="D34" i="2"/>
  <c r="G32" i="2"/>
  <c r="F32" i="2"/>
  <c r="E32" i="2"/>
  <c r="D32" i="2"/>
  <c r="G31" i="2"/>
  <c r="F31" i="2"/>
  <c r="C31" i="2"/>
  <c r="G30" i="2"/>
  <c r="F30" i="2"/>
  <c r="C30" i="2"/>
  <c r="C34" i="2" s="1"/>
  <c r="G29" i="2"/>
  <c r="F29" i="2"/>
  <c r="C29" i="2"/>
  <c r="G28" i="2"/>
  <c r="F28" i="2"/>
  <c r="C28" i="2"/>
  <c r="C35" i="2" s="1"/>
  <c r="G27" i="2"/>
  <c r="G33" i="2" s="1"/>
  <c r="F27" i="2"/>
  <c r="F33" i="2" s="1"/>
  <c r="E27" i="2"/>
  <c r="E33" i="2" s="1"/>
  <c r="D27" i="2"/>
  <c r="D33" i="2" s="1"/>
  <c r="C27" i="2"/>
  <c r="C33" i="2" s="1"/>
  <c r="G26" i="2"/>
  <c r="F26" i="2"/>
  <c r="C26" i="2"/>
  <c r="C32" i="2" s="1"/>
  <c r="C36" i="1"/>
  <c r="C35" i="1"/>
  <c r="E37" i="1"/>
  <c r="D37" i="1"/>
  <c r="G36" i="1"/>
  <c r="G37" i="1" s="1"/>
  <c r="G35" i="1"/>
  <c r="F36" i="1"/>
  <c r="F35" i="1"/>
  <c r="E40" i="1"/>
  <c r="D40" i="1"/>
  <c r="E39" i="1"/>
  <c r="D39" i="1"/>
  <c r="E38" i="1"/>
  <c r="D38" i="1"/>
  <c r="K35" i="3"/>
  <c r="K33" i="3"/>
  <c r="K40" i="3"/>
  <c r="K39" i="3"/>
  <c r="K38" i="3"/>
  <c r="K37" i="3"/>
  <c r="K36" i="3"/>
  <c r="K34" i="3"/>
  <c r="E40" i="3"/>
  <c r="D40" i="3"/>
  <c r="C40" i="3"/>
  <c r="J40" i="3"/>
  <c r="I40" i="3"/>
  <c r="H40" i="3"/>
  <c r="G40" i="3"/>
  <c r="F40" i="3"/>
  <c r="K19" i="3"/>
  <c r="K18" i="3"/>
  <c r="K17" i="3"/>
  <c r="K16" i="3"/>
  <c r="K15" i="3"/>
  <c r="K14" i="3"/>
  <c r="K13" i="3"/>
  <c r="K12" i="3"/>
  <c r="J29" i="3"/>
  <c r="I29" i="3"/>
  <c r="H29" i="3"/>
  <c r="G29" i="3"/>
  <c r="F29" i="3"/>
  <c r="E29" i="3"/>
  <c r="D29" i="3"/>
  <c r="C29" i="3"/>
  <c r="J28" i="3"/>
  <c r="I28" i="3"/>
  <c r="H28" i="3"/>
  <c r="G28" i="3"/>
  <c r="F28" i="3"/>
  <c r="E28" i="3"/>
  <c r="D28" i="3"/>
  <c r="C28" i="3"/>
  <c r="J27" i="3"/>
  <c r="I27" i="3"/>
  <c r="H27" i="3"/>
  <c r="G27" i="3"/>
  <c r="F27" i="3"/>
  <c r="E27" i="3"/>
  <c r="D27" i="3"/>
  <c r="C27" i="3"/>
  <c r="J26" i="3"/>
  <c r="I26" i="3"/>
  <c r="H26" i="3"/>
  <c r="G26" i="3"/>
  <c r="F26" i="3"/>
  <c r="E26" i="3"/>
  <c r="D26" i="3"/>
  <c r="C26" i="3"/>
  <c r="J25" i="3"/>
  <c r="I25" i="3"/>
  <c r="H25" i="3"/>
  <c r="G25" i="3"/>
  <c r="F25" i="3"/>
  <c r="E25" i="3"/>
  <c r="D25" i="3"/>
  <c r="C25" i="3"/>
  <c r="J24" i="3"/>
  <c r="I24" i="3"/>
  <c r="H24" i="3"/>
  <c r="G24" i="3"/>
  <c r="F24" i="3"/>
  <c r="E24" i="3"/>
  <c r="D24" i="3"/>
  <c r="C24" i="3"/>
  <c r="J23" i="3"/>
  <c r="I23" i="3"/>
  <c r="H23" i="3"/>
  <c r="G23" i="3"/>
  <c r="F23" i="3"/>
  <c r="E23" i="3"/>
  <c r="D23" i="3"/>
  <c r="C23" i="3"/>
  <c r="J19" i="3"/>
  <c r="I19" i="3"/>
  <c r="H19" i="3"/>
  <c r="G19" i="3"/>
  <c r="F19" i="3"/>
  <c r="E19" i="3"/>
  <c r="D19" i="3"/>
  <c r="C19" i="3"/>
  <c r="D39" i="3"/>
  <c r="C39" i="3"/>
  <c r="D36" i="3"/>
  <c r="C36" i="3"/>
  <c r="D18" i="3"/>
  <c r="C18" i="3"/>
  <c r="D15" i="3"/>
  <c r="C15" i="3"/>
  <c r="F39" i="3"/>
  <c r="E39" i="3"/>
  <c r="F36" i="3"/>
  <c r="E36" i="3"/>
  <c r="F18" i="3"/>
  <c r="E18" i="3"/>
  <c r="F15" i="3"/>
  <c r="E15" i="3"/>
  <c r="J8" i="3"/>
  <c r="I8" i="3"/>
  <c r="H8" i="3"/>
  <c r="G8" i="3"/>
  <c r="F8" i="3"/>
  <c r="E8" i="3"/>
  <c r="D8" i="3"/>
  <c r="J7" i="3"/>
  <c r="I7" i="3"/>
  <c r="H7" i="3"/>
  <c r="G7" i="3"/>
  <c r="F7" i="3"/>
  <c r="E7" i="3"/>
  <c r="D7" i="3"/>
  <c r="H76" i="2"/>
  <c r="E74" i="2"/>
  <c r="E75" i="2" s="1"/>
  <c r="E73" i="2"/>
  <c r="G76" i="2"/>
  <c r="J8" i="2"/>
  <c r="J22" i="2" s="1"/>
  <c r="I8" i="2"/>
  <c r="I22" i="2" s="1"/>
  <c r="H8" i="2"/>
  <c r="H22" i="2" s="1"/>
  <c r="G8" i="2"/>
  <c r="G22" i="2" s="1"/>
  <c r="F8" i="2"/>
  <c r="F22" i="2" s="1"/>
  <c r="E8" i="2"/>
  <c r="E22" i="2" s="1"/>
  <c r="D8" i="2"/>
  <c r="D22" i="2" s="1"/>
  <c r="C8" i="2"/>
  <c r="C22" i="2" s="1"/>
  <c r="J7" i="2"/>
  <c r="J6" i="2" s="1"/>
  <c r="J16" i="2" s="1"/>
  <c r="C7" i="2"/>
  <c r="C6" i="2" s="1"/>
  <c r="C16" i="2" s="1"/>
  <c r="J9" i="2"/>
  <c r="J18" i="2" s="1"/>
  <c r="I9" i="2"/>
  <c r="I18" i="2" s="1"/>
  <c r="I7" i="2"/>
  <c r="I15" i="2" s="1"/>
  <c r="H9" i="2"/>
  <c r="H18" i="2" s="1"/>
  <c r="G9" i="2"/>
  <c r="G18" i="2" s="1"/>
  <c r="H7" i="2"/>
  <c r="H6" i="2" s="1"/>
  <c r="H16" i="2" s="1"/>
  <c r="G7" i="2"/>
  <c r="F9" i="2"/>
  <c r="E9" i="2"/>
  <c r="E18" i="2" s="1"/>
  <c r="F7" i="2"/>
  <c r="F6" i="2" s="1"/>
  <c r="F16" i="2" s="1"/>
  <c r="E7" i="2"/>
  <c r="G6" i="2"/>
  <c r="G16" i="2" s="1"/>
  <c r="H15" i="2"/>
  <c r="G15" i="2"/>
  <c r="D9" i="2"/>
  <c r="D18" i="2" s="1"/>
  <c r="C9" i="2"/>
  <c r="C18" i="2" s="1"/>
  <c r="D7" i="2"/>
  <c r="D30" i="1"/>
  <c r="D29" i="1" s="1"/>
  <c r="E30" i="1"/>
  <c r="E29" i="1" s="1"/>
  <c r="F30" i="1"/>
  <c r="F29" i="1" s="1"/>
  <c r="G30" i="1"/>
  <c r="G29" i="1" s="1"/>
  <c r="H30" i="1"/>
  <c r="H29" i="1" s="1"/>
  <c r="I30" i="1"/>
  <c r="I29" i="1" s="1"/>
  <c r="J30" i="1"/>
  <c r="J29" i="1" s="1"/>
  <c r="C30" i="1"/>
  <c r="C29" i="1" s="1"/>
  <c r="J25" i="1"/>
  <c r="I25" i="1"/>
  <c r="H25" i="1"/>
  <c r="G25" i="1"/>
  <c r="F25" i="1"/>
  <c r="E25" i="1"/>
  <c r="D25" i="1"/>
  <c r="J24" i="1"/>
  <c r="I24" i="1"/>
  <c r="H24" i="1"/>
  <c r="G24" i="1"/>
  <c r="F24" i="1"/>
  <c r="E24" i="1"/>
  <c r="D24" i="1"/>
  <c r="C25" i="1"/>
  <c r="C24" i="1"/>
  <c r="G38" i="1" l="1"/>
  <c r="F37" i="1"/>
  <c r="F38" i="1"/>
  <c r="C37" i="1"/>
  <c r="C26" i="1"/>
  <c r="G40" i="1"/>
  <c r="G39" i="1"/>
  <c r="F40" i="1"/>
  <c r="F39" i="1"/>
  <c r="F26" i="1"/>
  <c r="D26" i="1"/>
  <c r="H26" i="1"/>
  <c r="J26" i="1"/>
  <c r="G26" i="1"/>
  <c r="E26" i="1"/>
  <c r="I26" i="1"/>
  <c r="G21" i="2"/>
  <c r="F15" i="2"/>
  <c r="F17" i="2"/>
  <c r="D21" i="2"/>
  <c r="H21" i="2"/>
  <c r="C21" i="2"/>
  <c r="D17" i="2"/>
  <c r="E21" i="2"/>
  <c r="I21" i="2"/>
  <c r="F21" i="2"/>
  <c r="J21" i="2"/>
  <c r="G17" i="2"/>
  <c r="E17" i="2"/>
  <c r="C17" i="2"/>
  <c r="D6" i="2"/>
  <c r="D16" i="2" s="1"/>
  <c r="H17" i="2"/>
  <c r="J17" i="2"/>
  <c r="J15" i="2"/>
  <c r="I17" i="2"/>
  <c r="I6" i="2"/>
  <c r="I16" i="2" s="1"/>
  <c r="F18" i="2"/>
  <c r="E15" i="2"/>
  <c r="E6" i="2"/>
  <c r="E16" i="2" s="1"/>
  <c r="D15" i="2"/>
  <c r="C15" i="2"/>
  <c r="D18" i="1"/>
  <c r="D17" i="1"/>
  <c r="D16" i="1"/>
  <c r="C18" i="1"/>
  <c r="C17" i="1"/>
  <c r="C16" i="1"/>
  <c r="D12" i="1"/>
  <c r="C12" i="1"/>
  <c r="D11" i="1"/>
  <c r="C11" i="1"/>
  <c r="D10" i="1"/>
  <c r="C10" i="1"/>
  <c r="D5" i="1"/>
  <c r="C5" i="1"/>
  <c r="J18" i="1" l="1"/>
  <c r="I18" i="1"/>
  <c r="H18" i="1"/>
  <c r="G18" i="1"/>
  <c r="F18" i="1"/>
  <c r="E18" i="1"/>
  <c r="J17" i="1" l="1"/>
  <c r="I17" i="1"/>
  <c r="H17" i="1"/>
  <c r="G17" i="1"/>
  <c r="F17" i="1"/>
  <c r="E17" i="1"/>
  <c r="F16" i="1"/>
  <c r="E16" i="1"/>
  <c r="H16" i="1"/>
  <c r="G16" i="1"/>
  <c r="I5" i="1"/>
  <c r="H5" i="1"/>
  <c r="G5" i="1"/>
  <c r="F5" i="1"/>
  <c r="E5" i="1"/>
  <c r="J5" i="1"/>
  <c r="J16" i="1"/>
  <c r="I16" i="1"/>
  <c r="G7" i="1"/>
  <c r="G10" i="1" s="1"/>
  <c r="H7" i="1"/>
  <c r="H10" i="1" s="1"/>
  <c r="F10" i="1"/>
  <c r="I10" i="1"/>
  <c r="J10" i="1"/>
  <c r="C39" i="1" s="1"/>
  <c r="F11" i="1"/>
  <c r="G11" i="1"/>
  <c r="H11" i="1"/>
  <c r="I11" i="1"/>
  <c r="J11" i="1"/>
  <c r="C38" i="1" s="1"/>
  <c r="F12" i="1"/>
  <c r="G12" i="1"/>
  <c r="H12" i="1"/>
  <c r="I12" i="1"/>
  <c r="J12" i="1"/>
  <c r="C40" i="1" s="1"/>
  <c r="E12" i="1"/>
  <c r="E11" i="1"/>
  <c r="E10" i="1"/>
</calcChain>
</file>

<file path=xl/sharedStrings.xml><?xml version="1.0" encoding="utf-8"?>
<sst xmlns="http://schemas.openxmlformats.org/spreadsheetml/2006/main" count="219" uniqueCount="70">
  <si>
    <t>FY22</t>
  </si>
  <si>
    <t>FY18</t>
  </si>
  <si>
    <t>FY19</t>
  </si>
  <si>
    <t>FY20</t>
  </si>
  <si>
    <t>FY21</t>
  </si>
  <si>
    <t>FY17</t>
  </si>
  <si>
    <t>売上</t>
  </si>
  <si>
    <t>純利益</t>
  </si>
  <si>
    <t>総資本</t>
  </si>
  <si>
    <t>自己資本</t>
  </si>
  <si>
    <t>ROE</t>
  </si>
  <si>
    <t>ROA</t>
  </si>
  <si>
    <t>総資本回転率</t>
  </si>
  <si>
    <t>金融売上</t>
  </si>
  <si>
    <t>金融利益</t>
  </si>
  <si>
    <t>金融総資産</t>
  </si>
  <si>
    <t>金融自己資本</t>
  </si>
  <si>
    <t>当期純利益率</t>
  </si>
  <si>
    <t>貢献度(純利益)</t>
  </si>
  <si>
    <t>貢献度(売上)</t>
  </si>
  <si>
    <t>FY16</t>
  </si>
  <si>
    <t>FY15</t>
  </si>
  <si>
    <t>総資産</t>
  </si>
  <si>
    <t>金融当期純利益率</t>
  </si>
  <si>
    <t>流動資産</t>
  </si>
  <si>
    <t>固定資産</t>
  </si>
  <si>
    <t>流動負債</t>
  </si>
  <si>
    <t>当座資産</t>
  </si>
  <si>
    <t>負債合計</t>
  </si>
  <si>
    <t>流動比率</t>
  </si>
  <si>
    <t>当座比率</t>
  </si>
  <si>
    <t>自己資本比率</t>
  </si>
  <si>
    <t>固定比率</t>
  </si>
  <si>
    <t>棚卸資産</t>
  </si>
  <si>
    <t>流動資産（除金融）</t>
  </si>
  <si>
    <t>投資</t>
  </si>
  <si>
    <t>営業</t>
  </si>
  <si>
    <t>財務</t>
  </si>
  <si>
    <t>売上成長率</t>
  </si>
  <si>
    <t>純利益成長率</t>
  </si>
  <si>
    <t>G &amp; NS</t>
  </si>
  <si>
    <t>音楽</t>
  </si>
  <si>
    <t>映画</t>
  </si>
  <si>
    <t>E&amp;TS</t>
  </si>
  <si>
    <t>I &amp; SS</t>
  </si>
  <si>
    <t>金融</t>
  </si>
  <si>
    <t>その他</t>
  </si>
  <si>
    <t>営業利益</t>
  </si>
  <si>
    <t>EP&amp;S</t>
  </si>
  <si>
    <t>競合他社の分析</t>
  </si>
  <si>
    <t>ソニー</t>
  </si>
  <si>
    <t>パナソニック</t>
  </si>
  <si>
    <t>Netflix</t>
  </si>
  <si>
    <t>アップル</t>
  </si>
  <si>
    <t>負債</t>
  </si>
  <si>
    <t>当期純利益</t>
  </si>
  <si>
    <t>FR</t>
  </si>
  <si>
    <t>JPY 130</t>
  </si>
  <si>
    <t>純利益 (%)</t>
  </si>
  <si>
    <t>負債及び純資産</t>
  </si>
  <si>
    <t>Mizuho</t>
  </si>
  <si>
    <t>Toshiba</t>
  </si>
  <si>
    <t>三井物産</t>
  </si>
  <si>
    <t>損益計算書</t>
  </si>
  <si>
    <t>貸借対照表</t>
  </si>
  <si>
    <t>売上原価</t>
  </si>
  <si>
    <t>販管費</t>
  </si>
  <si>
    <t>第一三共</t>
  </si>
  <si>
    <t>Meta</t>
  </si>
  <si>
    <t>セブンイレブン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</si>
</sst>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b/>
      <sz val="11"/>
      <color theme="1"/>
      <name val="游ゴシック"/>
      <family val="2"/>
      <scheme val="minor"/>
    </font>
    <font>
      <b/>
      <sz val="12"/>
      <color theme="0"/>
      <name val="游ゴシック"/>
      <family val="2"/>
      <scheme val="minor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76" fontId="0" fillId="0" borderId="0" xfId="1" applyFont="1"/>
    <xf numFmtId="9" fontId="0" fillId="0" borderId="0" xfId="2" applyFont="1"/>
    <xf numFmtId="177" fontId="0" fillId="0" borderId="0" xfId="2" applyNumberFormat="1" applyFont="1"/>
    <xf numFmtId="0" fontId="0" fillId="0" borderId="0" xfId="0" applyAlignment="1">
      <alignment horizontal="center"/>
    </xf>
    <xf numFmtId="176" fontId="0" fillId="0" borderId="0" xfId="0" applyNumberFormat="1"/>
    <xf numFmtId="176" fontId="0" fillId="0" borderId="0" xfId="1" applyFont="1" applyAlignment="1">
      <alignment horizontal="center"/>
    </xf>
    <xf numFmtId="0" fontId="3" fillId="0" borderId="0" xfId="0" applyFont="1"/>
    <xf numFmtId="0" fontId="3" fillId="2" borderId="0" xfId="0" applyFont="1" applyFill="1"/>
    <xf numFmtId="9" fontId="0" fillId="0" borderId="0" xfId="2" applyNumberFormat="1" applyFont="1"/>
    <xf numFmtId="0" fontId="0" fillId="0" borderId="0" xfId="0" applyAlignment="1">
      <alignment horizontal="right"/>
    </xf>
    <xf numFmtId="177" fontId="0" fillId="0" borderId="0" xfId="2" applyNumberFormat="1" applyFont="1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3" fillId="3" borderId="0" xfId="0" applyFont="1" applyFill="1"/>
    <xf numFmtId="0" fontId="0" fillId="0" borderId="0" xfId="0" applyAlignment="1">
      <alignment horizontal="left"/>
    </xf>
    <xf numFmtId="177" fontId="0" fillId="0" borderId="0" xfId="0" applyNumberFormat="1" applyAlignment="1">
      <alignment horizontal="center"/>
    </xf>
    <xf numFmtId="177" fontId="0" fillId="0" borderId="0" xfId="2" applyNumberFormat="1" applyFont="1" applyAlignment="1">
      <alignment horizontal="center"/>
    </xf>
    <xf numFmtId="9" fontId="0" fillId="0" borderId="0" xfId="2" applyFont="1" applyAlignment="1">
      <alignment horizontal="center"/>
    </xf>
    <xf numFmtId="9" fontId="0" fillId="0" borderId="0" xfId="2" applyFont="1" applyFill="1"/>
    <xf numFmtId="0" fontId="4" fillId="4" borderId="0" xfId="0" applyFont="1" applyFill="1"/>
    <xf numFmtId="0" fontId="4" fillId="4" borderId="0" xfId="0" applyFont="1" applyFill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Historical</a:t>
            </a:r>
            <a:r>
              <a:rPr lang="en-US" sz="1800" b="1" baseline="0"/>
              <a:t> </a:t>
            </a:r>
            <a:r>
              <a:rPr lang="en-US" sz="1800" b="1"/>
              <a:t>ROE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0529563184655827E-2"/>
          <c:y val="0.19379057880922779"/>
          <c:w val="0.91123272663693322"/>
          <c:h val="0.60734799078093082"/>
        </c:manualLayout>
      </c:layout>
      <c:lineChart>
        <c:grouping val="standard"/>
        <c:varyColors val="0"/>
        <c:ser>
          <c:idx val="0"/>
          <c:order val="0"/>
          <c:tx>
            <c:strRef>
              <c:f>収益性!$B$10</c:f>
              <c:strCache>
                <c:ptCount val="1"/>
                <c:pt idx="0">
                  <c:v>ROE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収益性!$C$9:$J$9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収益性!$C$10:$J$10</c:f>
              <c:numCache>
                <c:formatCode>0.0%</c:formatCode>
                <c:ptCount val="8"/>
                <c:pt idx="0">
                  <c:v>6.7121472534014417E-2</c:v>
                </c:pt>
                <c:pt idx="1">
                  <c:v>4.0683837773671294E-2</c:v>
                </c:pt>
                <c:pt idx="2">
                  <c:v>0.15005633154810719</c:v>
                </c:pt>
                <c:pt idx="3">
                  <c:v>0.21785385050566977</c:v>
                </c:pt>
                <c:pt idx="4">
                  <c:v>0.12992075431122227</c:v>
                </c:pt>
                <c:pt idx="5">
                  <c:v>0.21193188408168959</c:v>
                </c:pt>
                <c:pt idx="6">
                  <c:v>0.1234368853988517</c:v>
                </c:pt>
                <c:pt idx="7">
                  <c:v>0.12947191411136885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CD-42A6-8750-FF64DBAE4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896152"/>
        <c:axId val="66689713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収益性!$B$11</c15:sqref>
                        </c15:formulaRef>
                      </c:ext>
                    </c:extLst>
                    <c:strCache>
                      <c:ptCount val="1"/>
                      <c:pt idx="0">
                        <c:v>ROA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収益性!$C$9:$J$9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収益性!$C$11:$J$11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1.2577826104949263E-2</c:v>
                      </c:pt>
                      <c:pt idx="1">
                        <c:v>7.2229322791422879E-3</c:v>
                      </c:pt>
                      <c:pt idx="2">
                        <c:v>2.8705143279985069E-2</c:v>
                      </c:pt>
                      <c:pt idx="3">
                        <c:v>4.6066584289671905E-2</c:v>
                      </c:pt>
                      <c:pt idx="4">
                        <c:v>2.7008582666615103E-2</c:v>
                      </c:pt>
                      <c:pt idx="5">
                        <c:v>4.520497942692879E-2</c:v>
                      </c:pt>
                      <c:pt idx="6">
                        <c:v>2.9146253791751422E-2</c:v>
                      </c:pt>
                      <c:pt idx="7">
                        <c:v>2.9123376889921004E-2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DCD-42A6-8750-FF64DBAE4EA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収益性!$B$12</c15:sqref>
                        </c15:formulaRef>
                      </c:ext>
                    </c:extLst>
                    <c:strCache>
                      <c:ptCount val="1"/>
                      <c:pt idx="0">
                        <c:v>総資本回転率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収益性!$C$9:$J$9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収益性!$C$12:$J$12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0.486146608458148</c:v>
                      </c:pt>
                      <c:pt idx="1">
                        <c:v>0.430521553228562</c:v>
                      </c:pt>
                      <c:pt idx="2">
                        <c:v>0.44813747191398429</c:v>
                      </c:pt>
                      <c:pt idx="3">
                        <c:v>0.4130139161071999</c:v>
                      </c:pt>
                      <c:pt idx="4">
                        <c:v>0.35851217632377796</c:v>
                      </c:pt>
                      <c:pt idx="5">
                        <c:v>0.34146896736994042</c:v>
                      </c:pt>
                      <c:pt idx="6">
                        <c:v>0.32549863001393625</c:v>
                      </c:pt>
                      <c:pt idx="7">
                        <c:v>0.35615437590594579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DCD-42A6-8750-FF64DBAE4EAC}"/>
                  </c:ext>
                </c:extLst>
              </c15:ser>
            </c15:filteredLineSeries>
          </c:ext>
        </c:extLst>
      </c:lineChart>
      <c:catAx>
        <c:axId val="6668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897136"/>
        <c:crosses val="autoZero"/>
        <c:auto val="1"/>
        <c:lblAlgn val="ctr"/>
        <c:lblOffset val="100"/>
        <c:noMultiLvlLbl val="0"/>
      </c:catAx>
      <c:valAx>
        <c:axId val="666897136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89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1800" b="1" i="0" baseline="0">
                <a:effectLst/>
              </a:rPr>
              <a:t>流動比率と当座比率</a:t>
            </a:r>
            <a:r>
              <a:rPr lang="en-ZA" altLang="ja-JP" sz="1800" b="1" i="0" baseline="0">
                <a:effectLst/>
              </a:rPr>
              <a:t> </a:t>
            </a:r>
            <a:r>
              <a:rPr lang="en-ZA" altLang="ja-JP" sz="1400" b="0" i="0" baseline="0">
                <a:effectLst/>
              </a:rPr>
              <a:t>(</a:t>
            </a:r>
            <a:r>
              <a:rPr lang="ja-JP" altLang="en-US" sz="1400" b="0" i="0" baseline="0">
                <a:effectLst/>
              </a:rPr>
              <a:t>除く金融関連流動資産</a:t>
            </a:r>
            <a:r>
              <a:rPr lang="en-ZA" altLang="ja-JP" sz="1400" b="0" i="0" baseline="0">
                <a:effectLst/>
              </a:rPr>
              <a:t>)</a:t>
            </a:r>
            <a:endParaRPr lang="en-ZA" sz="1100" b="0">
              <a:effectLst/>
            </a:endParaRPr>
          </a:p>
        </c:rich>
      </c:tx>
      <c:layout>
        <c:manualLayout>
          <c:xMode val="edge"/>
          <c:yMode val="edge"/>
          <c:x val="0.1893918508317414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安全性!$B$21</c:f>
              <c:strCache>
                <c:ptCount val="1"/>
                <c:pt idx="0">
                  <c:v> 流動比率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安全性!$C$20:$J$20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安全性!$C$21:$J$21</c:f>
              <c:numCache>
                <c:formatCode>0%</c:formatCode>
                <c:ptCount val="8"/>
                <c:pt idx="0">
                  <c:v>0.86875267815556589</c:v>
                </c:pt>
                <c:pt idx="1">
                  <c:v>0.83415161117780878</c:v>
                </c:pt>
                <c:pt idx="2">
                  <c:v>0.920924871822837</c:v>
                </c:pt>
                <c:pt idx="3">
                  <c:v>0.86295586296622517</c:v>
                </c:pt>
                <c:pt idx="4">
                  <c:v>0.91902850486736276</c:v>
                </c:pt>
                <c:pt idx="5">
                  <c:v>0.9236535343443939</c:v>
                </c:pt>
                <c:pt idx="6">
                  <c:v>0.63186223980182987</c:v>
                </c:pt>
                <c:pt idx="7">
                  <c:v>0.62053472061683523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C3-462F-ADCF-59E5670FB3AE}"/>
            </c:ext>
          </c:extLst>
        </c:ser>
        <c:ser>
          <c:idx val="1"/>
          <c:order val="1"/>
          <c:tx>
            <c:strRef>
              <c:f>安全性!$B$22</c:f>
              <c:strCache>
                <c:ptCount val="1"/>
                <c:pt idx="0">
                  <c:v> 当座比率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安全性!$C$20:$J$20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安全性!$C$22:$J$22</c:f>
              <c:numCache>
                <c:formatCode>0%</c:formatCode>
                <c:ptCount val="8"/>
                <c:pt idx="0">
                  <c:v>0.72733654194483255</c:v>
                </c:pt>
                <c:pt idx="1">
                  <c:v>0.71142717014389267</c:v>
                </c:pt>
                <c:pt idx="2">
                  <c:v>0.79763834122017796</c:v>
                </c:pt>
                <c:pt idx="3">
                  <c:v>0.75550555403412767</c:v>
                </c:pt>
                <c:pt idx="4">
                  <c:v>0.82448890247054574</c:v>
                </c:pt>
                <c:pt idx="5">
                  <c:v>0.84209801029349141</c:v>
                </c:pt>
                <c:pt idx="6">
                  <c:v>0.53209145962112525</c:v>
                </c:pt>
                <c:pt idx="7">
                  <c:v>0.46283227213077843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C3-462F-ADCF-59E5670FB3A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1583448"/>
        <c:axId val="481579512"/>
      </c:lineChart>
      <c:catAx>
        <c:axId val="48158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579512"/>
        <c:crosses val="autoZero"/>
        <c:auto val="1"/>
        <c:lblAlgn val="ctr"/>
        <c:lblOffset val="100"/>
        <c:noMultiLvlLbl val="0"/>
      </c:catAx>
      <c:valAx>
        <c:axId val="481579512"/>
        <c:scaling>
          <c:orientation val="minMax"/>
          <c:max val="1.2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583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安全性!$B$18</c:f>
              <c:strCache>
                <c:ptCount val="1"/>
                <c:pt idx="0">
                  <c:v> 固定比率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安全性!$C$14:$J$14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安全性!$C$18:$J$18</c:f>
              <c:numCache>
                <c:formatCode>0%</c:formatCode>
                <c:ptCount val="8"/>
                <c:pt idx="0">
                  <c:v>0.9414103782794192</c:v>
                </c:pt>
                <c:pt idx="1">
                  <c:v>0.91091821132849105</c:v>
                </c:pt>
                <c:pt idx="2">
                  <c:v>0.76929482333773946</c:v>
                </c:pt>
                <c:pt idx="3">
                  <c:v>0.8117700547090565</c:v>
                </c:pt>
                <c:pt idx="4">
                  <c:v>0.86495453107660769</c:v>
                </c:pt>
                <c:pt idx="5">
                  <c:v>0.78496732886523046</c:v>
                </c:pt>
                <c:pt idx="6">
                  <c:v>0.86590834914840376</c:v>
                </c:pt>
                <c:pt idx="7">
                  <c:v>1.0281867348890459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2-4D44-8311-39371803C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521416"/>
        <c:axId val="8085237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安全性!$B$15</c15:sqref>
                        </c15:formulaRef>
                      </c:ext>
                    </c:extLst>
                    <c:strCache>
                      <c:ptCount val="1"/>
                      <c:pt idx="0">
                        <c:v> 流動比率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安全性!$C$14:$J$14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安全性!$C$15:$J$15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2.7802742845313873</c:v>
                      </c:pt>
                      <c:pt idx="1">
                        <c:v>2.7706315846119463</c:v>
                      </c:pt>
                      <c:pt idx="2">
                        <c:v>2.8346299760112061</c:v>
                      </c:pt>
                      <c:pt idx="3">
                        <c:v>2.7914110873439406</c:v>
                      </c:pt>
                      <c:pt idx="4">
                        <c:v>2.9596099187189115</c:v>
                      </c:pt>
                      <c:pt idx="5">
                        <c:v>2.7487618074208129</c:v>
                      </c:pt>
                      <c:pt idx="6">
                        <c:v>2.7680814826230145</c:v>
                      </c:pt>
                      <c:pt idx="7">
                        <c:v>2.636978705192516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3562-4D44-8311-39371803CDA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安全性!$B$16</c15:sqref>
                        </c15:formulaRef>
                      </c:ext>
                    </c:extLst>
                    <c:strCache>
                      <c:ptCount val="1"/>
                      <c:pt idx="0">
                        <c:v> 当座比率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安全性!$C$14:$J$14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安全性!$C$16:$J$16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2.6388581483206544</c:v>
                      </c:pt>
                      <c:pt idx="1">
                        <c:v>2.6479071435780304</c:v>
                      </c:pt>
                      <c:pt idx="2">
                        <c:v>2.7113434454085468</c:v>
                      </c:pt>
                      <c:pt idx="3">
                        <c:v>2.6839607784118433</c:v>
                      </c:pt>
                      <c:pt idx="4">
                        <c:v>2.8650703163220945</c:v>
                      </c:pt>
                      <c:pt idx="5">
                        <c:v>2.6672062833699104</c:v>
                      </c:pt>
                      <c:pt idx="6">
                        <c:v>2.6683107024423096</c:v>
                      </c:pt>
                      <c:pt idx="7">
                        <c:v>2.4792762567064592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562-4D44-8311-39371803CDA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安全性!$B$17</c15:sqref>
                        </c15:formulaRef>
                      </c:ext>
                    </c:extLst>
                    <c:strCache>
                      <c:ptCount val="1"/>
                      <c:pt idx="0">
                        <c:v> 自己資本比率 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安全性!$C$14:$J$14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安全性!$C$17:$J$17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0.15189979390719643</c:v>
                      </c:pt>
                      <c:pt idx="1">
                        <c:v>0.14462712212312639</c:v>
                      </c:pt>
                      <c:pt idx="2">
                        <c:v>0.15251144424294918</c:v>
                      </c:pt>
                      <c:pt idx="3">
                        <c:v>0.17182477391915385</c:v>
                      </c:pt>
                      <c:pt idx="4">
                        <c:v>0.16896000698765082</c:v>
                      </c:pt>
                      <c:pt idx="5">
                        <c:v>0.16976049942142574</c:v>
                      </c:pt>
                      <c:pt idx="6">
                        <c:v>0.19983379689819922</c:v>
                      </c:pt>
                      <c:pt idx="7">
                        <c:v>0.19272230439999852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562-4D44-8311-39371803CDAB}"/>
                  </c:ext>
                </c:extLst>
              </c15:ser>
            </c15:filteredLineSeries>
          </c:ext>
        </c:extLst>
      </c:lineChart>
      <c:catAx>
        <c:axId val="8085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8523712"/>
        <c:crosses val="autoZero"/>
        <c:auto val="1"/>
        <c:lblAlgn val="ctr"/>
        <c:lblOffset val="100"/>
        <c:noMultiLvlLbl val="0"/>
      </c:catAx>
      <c:valAx>
        <c:axId val="808523712"/>
        <c:scaling>
          <c:orientation val="minMax"/>
          <c:max val="1.4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852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b="1"/>
              <a:t>FY22</a:t>
            </a:r>
            <a:r>
              <a:rPr lang="en-ZA" b="1" baseline="0"/>
              <a:t> </a:t>
            </a:r>
            <a:r>
              <a:rPr lang="ja-JP" altLang="en-US" b="1" baseline="0"/>
              <a:t>各企業の安全性指標の比較</a:t>
            </a:r>
            <a:endParaRPr lang="en-ZA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安全性!$C$25</c:f>
              <c:strCache>
                <c:ptCount val="1"/>
                <c:pt idx="0">
                  <c:v>ソニー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安全性!$B$26:$B$35</c:f>
              <c:strCache>
                <c:ptCount val="4"/>
                <c:pt idx="0">
                  <c:v>流動比率</c:v>
                </c:pt>
                <c:pt idx="1">
                  <c:v>当座比率</c:v>
                </c:pt>
                <c:pt idx="2">
                  <c:v>自己資本比率</c:v>
                </c:pt>
                <c:pt idx="3">
                  <c:v>固定比率</c:v>
                </c:pt>
              </c:strCache>
            </c:strRef>
          </c:cat>
          <c:val>
            <c:numRef>
              <c:f>安全性!$C$26:$C$35</c:f>
              <c:numCache>
                <c:formatCode>0%</c:formatCode>
                <c:ptCount val="4"/>
                <c:pt idx="0">
                  <c:v>2.636978705192516</c:v>
                </c:pt>
                <c:pt idx="1">
                  <c:v>2.4792762567064592</c:v>
                </c:pt>
                <c:pt idx="2">
                  <c:v>0.43731912180983556</c:v>
                </c:pt>
                <c:pt idx="3">
                  <c:v>1.0281867348890459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E-4CB3-9B74-991B03E56FD9}"/>
            </c:ext>
          </c:extLst>
        </c:ser>
        <c:ser>
          <c:idx val="1"/>
          <c:order val="1"/>
          <c:tx>
            <c:strRef>
              <c:f>安全性!$D$25</c:f>
              <c:strCache>
                <c:ptCount val="1"/>
                <c:pt idx="0">
                  <c:v>パナソニック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安全性!$B$26:$B$35</c:f>
              <c:strCache>
                <c:ptCount val="4"/>
                <c:pt idx="0">
                  <c:v>流動比率</c:v>
                </c:pt>
                <c:pt idx="1">
                  <c:v>当座比率</c:v>
                </c:pt>
                <c:pt idx="2">
                  <c:v>自己資本比率</c:v>
                </c:pt>
                <c:pt idx="3">
                  <c:v>固定比率</c:v>
                </c:pt>
              </c:strCache>
            </c:strRef>
          </c:cat>
          <c:val>
            <c:numRef>
              <c:f>安全性!$D$26:$D$35</c:f>
              <c:numCache>
                <c:formatCode>0%</c:formatCode>
                <c:ptCount val="4"/>
                <c:pt idx="0">
                  <c:v>1.3234699417418965</c:v>
                </c:pt>
                <c:pt idx="1">
                  <c:v>0.87496224011804746</c:v>
                </c:pt>
                <c:pt idx="2">
                  <c:v>0.47024571044926083</c:v>
                </c:pt>
                <c:pt idx="3">
                  <c:v>0.89036334274764006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E-4CB3-9B74-991B03E56FD9}"/>
            </c:ext>
          </c:extLst>
        </c:ser>
        <c:ser>
          <c:idx val="2"/>
          <c:order val="2"/>
          <c:tx>
            <c:strRef>
              <c:f>安全性!$E$25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安全性!$B$26:$B$35</c:f>
              <c:strCache>
                <c:ptCount val="4"/>
                <c:pt idx="0">
                  <c:v>流動比率</c:v>
                </c:pt>
                <c:pt idx="1">
                  <c:v>当座比率</c:v>
                </c:pt>
                <c:pt idx="2">
                  <c:v>自己資本比率</c:v>
                </c:pt>
                <c:pt idx="3">
                  <c:v>固定比率</c:v>
                </c:pt>
              </c:strCache>
            </c:strRef>
          </c:cat>
          <c:val>
            <c:numRef>
              <c:f>安全性!$E$26:$E$35</c:f>
              <c:numCache>
                <c:formatCode>0%</c:formatCode>
                <c:ptCount val="4"/>
                <c:pt idx="0">
                  <c:v>2.4865858975032014</c:v>
                </c:pt>
                <c:pt idx="1">
                  <c:v>1.9320267688606572</c:v>
                </c:pt>
                <c:pt idx="2">
                  <c:v>0.50738780097256009</c:v>
                </c:pt>
                <c:pt idx="3">
                  <c:v>1.6075075305176278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9E-4CB3-9B74-991B03E56FD9}"/>
            </c:ext>
          </c:extLst>
        </c:ser>
        <c:ser>
          <c:idx val="3"/>
          <c:order val="3"/>
          <c:tx>
            <c:strRef>
              <c:f>安全性!$F$25</c:f>
              <c:strCache>
                <c:ptCount val="1"/>
                <c:pt idx="0">
                  <c:v>アップル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安全性!$B$26:$B$35</c:f>
              <c:strCache>
                <c:ptCount val="4"/>
                <c:pt idx="0">
                  <c:v>流動比率</c:v>
                </c:pt>
                <c:pt idx="1">
                  <c:v>当座比率</c:v>
                </c:pt>
                <c:pt idx="2">
                  <c:v>自己資本比率</c:v>
                </c:pt>
                <c:pt idx="3">
                  <c:v>固定比率</c:v>
                </c:pt>
              </c:strCache>
            </c:strRef>
          </c:cat>
          <c:val>
            <c:numRef>
              <c:f>安全性!$F$26:$F$35</c:f>
              <c:numCache>
                <c:formatCode>0%</c:formatCode>
                <c:ptCount val="4"/>
                <c:pt idx="0">
                  <c:v>0.87935602862672257</c:v>
                </c:pt>
                <c:pt idx="1">
                  <c:v>0.84723539114961488</c:v>
                </c:pt>
                <c:pt idx="2">
                  <c:v>0.14364644016385311</c:v>
                </c:pt>
                <c:pt idx="3">
                  <c:v>0.2331354957441914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9E-4CB3-9B74-991B03E56FD9}"/>
            </c:ext>
          </c:extLst>
        </c:ser>
        <c:ser>
          <c:idx val="4"/>
          <c:order val="4"/>
          <c:tx>
            <c:strRef>
              <c:f>安全性!$G$25</c:f>
              <c:strCache>
                <c:ptCount val="1"/>
                <c:pt idx="0">
                  <c:v>Netflix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安全性!$B$26:$B$35</c:f>
              <c:strCache>
                <c:ptCount val="4"/>
                <c:pt idx="0">
                  <c:v>流動比率</c:v>
                </c:pt>
                <c:pt idx="1">
                  <c:v>当座比率</c:v>
                </c:pt>
                <c:pt idx="2">
                  <c:v>自己資本比率</c:v>
                </c:pt>
                <c:pt idx="3">
                  <c:v>固定比率</c:v>
                </c:pt>
              </c:strCache>
            </c:strRef>
          </c:cat>
          <c:val>
            <c:numRef>
              <c:f>安全性!$G$26:$G$35</c:f>
              <c:numCache>
                <c:formatCode>0%</c:formatCode>
                <c:ptCount val="4"/>
                <c:pt idx="0">
                  <c:v>1.1683268188122558</c:v>
                </c:pt>
                <c:pt idx="1">
                  <c:v>1.1683268188122558</c:v>
                </c:pt>
                <c:pt idx="2">
                  <c:v>0.42755427513118632</c:v>
                </c:pt>
                <c:pt idx="3">
                  <c:v>0.52831388104864341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9E-4CB3-9B74-991B03E56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0199480"/>
        <c:axId val="940201120"/>
      </c:barChart>
      <c:catAx>
        <c:axId val="9401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0201120"/>
        <c:crosses val="autoZero"/>
        <c:auto val="1"/>
        <c:lblAlgn val="ctr"/>
        <c:lblOffset val="100"/>
        <c:noMultiLvlLbl val="0"/>
      </c:catAx>
      <c:valAx>
        <c:axId val="9402011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0199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1"/>
              <a:t>ソニーの売上高、純利益成長率</a:t>
            </a:r>
            <a:endParaRPr lang="en-ZA" altLang="ja-JP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632035001781332E-2"/>
          <c:y val="0.15982315296352931"/>
          <c:w val="0.92282125684157557"/>
          <c:h val="0.68350463872711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成長性!$B$5</c:f>
              <c:strCache>
                <c:ptCount val="1"/>
                <c:pt idx="0">
                  <c:v>売上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成長性!$C$4:$J$4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成長性!$C$5:$J$5</c:f>
              <c:numCache>
                <c:formatCode>_-* #,##0_-;\-* #,##0_-;_-* "-"_-;_-@_-</c:formatCode>
                <c:ptCount val="8"/>
                <c:pt idx="0">
                  <c:v>8105712</c:v>
                </c:pt>
                <c:pt idx="1">
                  <c:v>7603250</c:v>
                </c:pt>
                <c:pt idx="2">
                  <c:v>8543982</c:v>
                </c:pt>
                <c:pt idx="3">
                  <c:v>8665687</c:v>
                </c:pt>
                <c:pt idx="4">
                  <c:v>8259885</c:v>
                </c:pt>
                <c:pt idx="5">
                  <c:v>8999360</c:v>
                </c:pt>
                <c:pt idx="6">
                  <c:v>9921513</c:v>
                </c:pt>
                <c:pt idx="7">
                  <c:v>11539837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D-48A6-B9B0-AEC74DD8B398}"/>
            </c:ext>
          </c:extLst>
        </c:ser>
        <c:ser>
          <c:idx val="1"/>
          <c:order val="1"/>
          <c:tx>
            <c:strRef>
              <c:f>成長性!$B$6</c:f>
              <c:strCache>
                <c:ptCount val="1"/>
                <c:pt idx="0">
                  <c:v>純利益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成長性!$C$4:$J$4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成長性!$C$6:$J$6</c:f>
              <c:numCache>
                <c:formatCode>_-* #,##0_-;\-* #,##0_-;_-* "-"_-;_-@_-</c:formatCode>
                <c:ptCount val="8"/>
                <c:pt idx="0">
                  <c:v>209715</c:v>
                </c:pt>
                <c:pt idx="1">
                  <c:v>127561</c:v>
                </c:pt>
                <c:pt idx="2">
                  <c:v>547279</c:v>
                </c:pt>
                <c:pt idx="3">
                  <c:v>966550</c:v>
                </c:pt>
                <c:pt idx="4">
                  <c:v>622260</c:v>
                </c:pt>
                <c:pt idx="5">
                  <c:v>1191370</c:v>
                </c:pt>
                <c:pt idx="6">
                  <c:v>888406</c:v>
                </c:pt>
                <c:pt idx="7">
                  <c:v>943633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6D-48A6-B9B0-AEC74DD8B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533240"/>
        <c:axId val="662535536"/>
      </c:barChart>
      <c:lineChart>
        <c:grouping val="standard"/>
        <c:varyColors val="0"/>
        <c:ser>
          <c:idx val="2"/>
          <c:order val="2"/>
          <c:tx>
            <c:strRef>
              <c:f>成長性!$B$7</c:f>
              <c:strCache>
                <c:ptCount val="1"/>
                <c:pt idx="0">
                  <c:v>売上成長率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7.5830618892508139E-2"/>
                  <c:y val="6.057917591227509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6D-48A6-B9B0-AEC74DD8B398}"/>
                </c:ext>
              </c:extLst>
            </c:dLbl>
            <c:dLbl>
              <c:idx val="2"/>
              <c:layout>
                <c:manualLayout>
                  <c:x val="-4.087409269281083E-2"/>
                  <c:y val="1.4175623041883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6D-48A6-B9B0-AEC74DD8B398}"/>
                </c:ext>
              </c:extLst>
            </c:dLbl>
            <c:dLbl>
              <c:idx val="3"/>
              <c:layout>
                <c:manualLayout>
                  <c:x val="-4.0266057947968233E-2"/>
                  <c:y val="2.2293328492538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6D-48A6-B9B0-AEC74DD8B398}"/>
                </c:ext>
              </c:extLst>
            </c:dLbl>
            <c:dLbl>
              <c:idx val="4"/>
              <c:layout>
                <c:manualLayout>
                  <c:x val="-3.6742671009771986E-2"/>
                  <c:y val="-3.8589462387378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6D-48A6-B9B0-AEC74DD8B398}"/>
                </c:ext>
              </c:extLst>
            </c:dLbl>
            <c:dLbl>
              <c:idx val="6"/>
              <c:layout>
                <c:manualLayout>
                  <c:x val="-4.0874092692810796E-2"/>
                  <c:y val="-4.67071678380345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6D-48A6-B9B0-AEC74DD8B398}"/>
                </c:ext>
              </c:extLst>
            </c:dLbl>
            <c:dLbl>
              <c:idx val="7"/>
              <c:layout>
                <c:manualLayout>
                  <c:x val="-3.6530987372506936E-2"/>
                  <c:y val="-3.0471756936723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6D-48A6-B9B0-AEC74DD8B3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成長性!$C$4:$J$4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成長性!$C$7:$J$7</c:f>
              <c:numCache>
                <c:formatCode>0.0%</c:formatCode>
                <c:ptCount val="8"/>
                <c:pt idx="1">
                  <c:v>-6.1988632213925143E-2</c:v>
                </c:pt>
                <c:pt idx="2">
                  <c:v>0.12372761647979491</c:v>
                </c:pt>
                <c:pt idx="3">
                  <c:v>1.4244529073212053E-2</c:v>
                </c:pt>
                <c:pt idx="4">
                  <c:v>-4.6828601125334934E-2</c:v>
                </c:pt>
                <c:pt idx="5">
                  <c:v>8.9526064830200314E-2</c:v>
                </c:pt>
                <c:pt idx="6">
                  <c:v>0.10246873110976784</c:v>
                </c:pt>
                <c:pt idx="7">
                  <c:v>0.16311262203657839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6D-48A6-B9B0-AEC74DD8B398}"/>
            </c:ext>
          </c:extLst>
        </c:ser>
        <c:ser>
          <c:idx val="3"/>
          <c:order val="3"/>
          <c:tx>
            <c:strRef>
              <c:f>成長性!$B$8</c:f>
              <c:strCache>
                <c:ptCount val="1"/>
                <c:pt idx="0">
                  <c:v>純利益成長率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8208469055374591E-2"/>
                  <c:y val="3.4530609662050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6D-48A6-B9B0-AEC74DD8B398}"/>
                </c:ext>
              </c:extLst>
            </c:dLbl>
            <c:dLbl>
              <c:idx val="4"/>
              <c:layout>
                <c:manualLayout>
                  <c:x val="-4.6036916395222664E-2"/>
                  <c:y val="3.0471756936723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6D-48A6-B9B0-AEC74DD8B398}"/>
                </c:ext>
              </c:extLst>
            </c:dLbl>
            <c:dLbl>
              <c:idx val="6"/>
              <c:layout>
                <c:manualLayout>
                  <c:x val="-3.9522258414766719E-2"/>
                  <c:y val="1.0177493310083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6D-48A6-B9B0-AEC74DD8B398}"/>
                </c:ext>
              </c:extLst>
            </c:dLbl>
            <c:dLbl>
              <c:idx val="7"/>
              <c:layout>
                <c:manualLayout>
                  <c:x val="-1.4874372013964536E-2"/>
                  <c:y val="2.1853118532872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6D-48A6-B9B0-AEC74DD8B3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成長性!$C$4:$J$4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成長性!$C$8:$J$8</c:f>
              <c:numCache>
                <c:formatCode>0.0%</c:formatCode>
                <c:ptCount val="8"/>
                <c:pt idx="1">
                  <c:v>-0.39174117254369023</c:v>
                </c:pt>
                <c:pt idx="2">
                  <c:v>3.2903316844490087</c:v>
                </c:pt>
                <c:pt idx="3">
                  <c:v>0.76610101977236478</c:v>
                </c:pt>
                <c:pt idx="4">
                  <c:v>-0.35620505923128654</c:v>
                </c:pt>
                <c:pt idx="5">
                  <c:v>0.91458554302060224</c:v>
                </c:pt>
                <c:pt idx="6">
                  <c:v>-0.25429883243660656</c:v>
                </c:pt>
                <c:pt idx="7">
                  <c:v>6.2164145672136462E-2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6D-48A6-B9B0-AEC74DD8B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60456"/>
        <c:axId val="958126712"/>
      </c:lineChart>
      <c:catAx>
        <c:axId val="66253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2535536"/>
        <c:crosses val="autoZero"/>
        <c:auto val="1"/>
        <c:lblAlgn val="ctr"/>
        <c:lblOffset val="100"/>
        <c:noMultiLvlLbl val="0"/>
      </c:catAx>
      <c:valAx>
        <c:axId val="662535536"/>
        <c:scaling>
          <c:orientation val="minMax"/>
          <c:max val="20000000"/>
        </c:scaling>
        <c:delete val="0"/>
        <c:axPos val="l"/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2533240"/>
        <c:crosses val="autoZero"/>
        <c:crossBetween val="between"/>
        <c:dispUnits>
          <c:builtInUnit val="thousands"/>
        </c:dispUnits>
      </c:valAx>
      <c:valAx>
        <c:axId val="958126712"/>
        <c:scaling>
          <c:orientation val="minMax"/>
          <c:min val="-6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660456"/>
        <c:crosses val="max"/>
        <c:crossBetween val="between"/>
      </c:valAx>
      <c:catAx>
        <c:axId val="714660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8126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ソニーセグメント別売上</a:t>
            </a:r>
            <a:endParaRPr lang="en-ZA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024697099416277E-2"/>
          <c:y val="0.14487526607871937"/>
          <c:w val="0.8534776538820793"/>
          <c:h val="0.6974025673838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成長性!$B$12</c:f>
              <c:strCache>
                <c:ptCount val="1"/>
                <c:pt idx="0">
                  <c:v>G &amp; 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>
                <a:glow rad="127000">
                  <a:schemeClr val="tx1"/>
                </a:glow>
                <a:softEdge rad="0"/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成長性!$C$12:$J$12</c:f>
              <c:numCache>
                <c:formatCode>General</c:formatCode>
                <c:ptCount val="8"/>
                <c:pt idx="0">
                  <c:v>1551893</c:v>
                </c:pt>
                <c:pt idx="1">
                  <c:v>1649799</c:v>
                </c:pt>
                <c:pt idx="2">
                  <c:v>1943812</c:v>
                </c:pt>
                <c:pt idx="3">
                  <c:v>2310872</c:v>
                </c:pt>
                <c:pt idx="4">
                  <c:v>1977551</c:v>
                </c:pt>
                <c:pt idx="5">
                  <c:v>2656278</c:v>
                </c:pt>
                <c:pt idx="6" formatCode="_-* #,##0_-;\-* #,##0_-;_-* &quot;-&quot;_-;_-@_-">
                  <c:v>2674356</c:v>
                </c:pt>
                <c:pt idx="7" formatCode="_-* #,##0_-;\-* #,##0_-;_-* &quot;-&quot;_-;_-@_-">
                  <c:v>3644598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1-4A42-A51B-5EAB8B28C5C4}"/>
            </c:ext>
          </c:extLst>
        </c:ser>
        <c:ser>
          <c:idx val="1"/>
          <c:order val="1"/>
          <c:tx>
            <c:strRef>
              <c:f>成長性!$B$13</c:f>
              <c:strCache>
                <c:ptCount val="1"/>
                <c:pt idx="0">
                  <c:v>音楽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成長性!$C$13:$J$13</c:f>
              <c:numCache>
                <c:formatCode>General</c:formatCode>
                <c:ptCount val="8"/>
                <c:pt idx="0">
                  <c:v>619239</c:v>
                </c:pt>
                <c:pt idx="1">
                  <c:v>647658</c:v>
                </c:pt>
                <c:pt idx="2">
                  <c:v>799995</c:v>
                </c:pt>
                <c:pt idx="3">
                  <c:v>807489</c:v>
                </c:pt>
                <c:pt idx="4">
                  <c:v>849909</c:v>
                </c:pt>
                <c:pt idx="5">
                  <c:v>939876</c:v>
                </c:pt>
                <c:pt idx="6" formatCode="_-* #,##0_-;\-* #,##0_-;_-* &quot;-&quot;_-;_-@_-">
                  <c:v>1116949</c:v>
                </c:pt>
                <c:pt idx="7" formatCode="_-* #,##0_-;\-* #,##0_-;_-* &quot;-&quot;_-;_-@_-">
                  <c:v>1380632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1-4A42-A51B-5EAB8B28C5C4}"/>
            </c:ext>
          </c:extLst>
        </c:ser>
        <c:ser>
          <c:idx val="2"/>
          <c:order val="2"/>
          <c:tx>
            <c:strRef>
              <c:f>成長性!$B$14</c:f>
              <c:strCache>
                <c:ptCount val="1"/>
                <c:pt idx="0">
                  <c:v>映画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成長性!$C$14:$J$14</c:f>
              <c:numCache>
                <c:formatCode>General</c:formatCode>
                <c:ptCount val="8"/>
                <c:pt idx="0">
                  <c:v>938142</c:v>
                </c:pt>
                <c:pt idx="1">
                  <c:v>903129</c:v>
                </c:pt>
                <c:pt idx="2">
                  <c:v>1011067</c:v>
                </c:pt>
                <c:pt idx="3">
                  <c:v>986873</c:v>
                </c:pt>
                <c:pt idx="4">
                  <c:v>1011854</c:v>
                </c:pt>
                <c:pt idx="5">
                  <c:v>758767</c:v>
                </c:pt>
                <c:pt idx="6" formatCode="_-* #,##0_-;\-* #,##0_-;_-* &quot;-&quot;_-;_-@_-">
                  <c:v>1238911</c:v>
                </c:pt>
                <c:pt idx="7" formatCode="_-* #,##0_-;\-* #,##0_-;_-* &quot;-&quot;_-;_-@_-">
                  <c:v>1369422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D1-4A42-A51B-5EAB8B28C5C4}"/>
            </c:ext>
          </c:extLst>
        </c:ser>
        <c:ser>
          <c:idx val="3"/>
          <c:order val="3"/>
          <c:tx>
            <c:strRef>
              <c:f>成長性!$B$15</c:f>
              <c:strCache>
                <c:ptCount val="1"/>
                <c:pt idx="0">
                  <c:v>E&amp;TS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成長性!$C$15:$J$15</c:f>
              <c:numCache>
                <c:formatCode>General</c:formatCode>
                <c:ptCount val="8"/>
                <c:pt idx="0">
                  <c:v>2286515</c:v>
                </c:pt>
                <c:pt idx="1">
                  <c:v>1798149</c:v>
                </c:pt>
                <c:pt idx="2">
                  <c:v>1946475</c:v>
                </c:pt>
                <c:pt idx="3">
                  <c:v>1653411</c:v>
                </c:pt>
                <c:pt idx="4">
                  <c:v>1991268</c:v>
                </c:pt>
                <c:pt idx="5">
                  <c:v>1920730</c:v>
                </c:pt>
                <c:pt idx="6" formatCode="_-* #,##0_-;\-* #,##0_-;_-* &quot;-&quot;_-;_-@_-">
                  <c:v>2339186</c:v>
                </c:pt>
                <c:pt idx="7" formatCode="_-* #,##0_-;\-* #,##0_-;_-* &quot;-&quot;_-;_-@_-">
                  <c:v>2476025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D1-4A42-A51B-5EAB8B28C5C4}"/>
            </c:ext>
          </c:extLst>
        </c:ser>
        <c:ser>
          <c:idx val="4"/>
          <c:order val="4"/>
          <c:tx>
            <c:strRef>
              <c:f>成長性!$B$16</c:f>
              <c:strCache>
                <c:ptCount val="1"/>
                <c:pt idx="0">
                  <c:v>I &amp; 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成長性!$C$16:$J$16</c:f>
              <c:numCache>
                <c:formatCode>General</c:formatCode>
                <c:ptCount val="8"/>
                <c:pt idx="0">
                  <c:v>683955</c:v>
                </c:pt>
                <c:pt idx="1">
                  <c:v>579633</c:v>
                </c:pt>
                <c:pt idx="2">
                  <c:v>655892</c:v>
                </c:pt>
                <c:pt idx="3">
                  <c:v>670450</c:v>
                </c:pt>
                <c:pt idx="4">
                  <c:v>1070576</c:v>
                </c:pt>
                <c:pt idx="5">
                  <c:v>1012497</c:v>
                </c:pt>
                <c:pt idx="6" formatCode="_-* #,##0_-;\-* #,##0_-;_-* &quot;-&quot;_-;_-@_-">
                  <c:v>1076424</c:v>
                </c:pt>
                <c:pt idx="7" formatCode="_-* #,##0_-;\-* #,##0_-;_-* &quot;-&quot;_-;_-@_-">
                  <c:v>1402187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D1-4A42-A51B-5EAB8B28C5C4}"/>
            </c:ext>
          </c:extLst>
        </c:ser>
        <c:ser>
          <c:idx val="5"/>
          <c:order val="5"/>
          <c:tx>
            <c:strRef>
              <c:f>成長性!$B$17</c:f>
              <c:strCache>
                <c:ptCount val="1"/>
                <c:pt idx="0">
                  <c:v>金融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成長性!$C$17:$J$17</c:f>
              <c:numCache>
                <c:formatCode>General</c:formatCode>
                <c:ptCount val="8"/>
                <c:pt idx="0">
                  <c:v>1073069</c:v>
                </c:pt>
                <c:pt idx="1">
                  <c:v>1087504</c:v>
                </c:pt>
                <c:pt idx="2">
                  <c:v>1288377</c:v>
                </c:pt>
                <c:pt idx="3">
                  <c:v>1282549</c:v>
                </c:pt>
                <c:pt idx="4">
                  <c:v>1307748</c:v>
                </c:pt>
                <c:pt idx="5">
                  <c:v>1668921</c:v>
                </c:pt>
                <c:pt idx="6" formatCode="_-* #,##0_-;\-* #,##0_-;_-* &quot;-&quot;_-;_-@_-">
                  <c:v>1533829</c:v>
                </c:pt>
                <c:pt idx="7" formatCode="_-* #,##0_-;\-* #,##0_-;_-* &quot;-&quot;_-;_-@_-">
                  <c:v>1454546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D1-4A42-A51B-5EAB8B28C5C4}"/>
            </c:ext>
          </c:extLst>
        </c:ser>
        <c:ser>
          <c:idx val="6"/>
          <c:order val="6"/>
          <c:tx>
            <c:strRef>
              <c:f>成長性!$B$18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成長性!$C$18:$J$18</c:f>
              <c:numCache>
                <c:formatCode>General</c:formatCode>
                <c:ptCount val="8"/>
                <c:pt idx="0">
                  <c:v>1295867</c:v>
                </c:pt>
                <c:pt idx="1">
                  <c:v>1235474</c:v>
                </c:pt>
                <c:pt idx="2">
                  <c:v>1257184</c:v>
                </c:pt>
                <c:pt idx="3">
                  <c:v>1225067</c:v>
                </c:pt>
                <c:pt idx="4">
                  <c:v>251420</c:v>
                </c:pt>
                <c:pt idx="5">
                  <c:v>229253</c:v>
                </c:pt>
                <c:pt idx="6" formatCode="_-* #,##0_-;\-* #,##0_-;_-* &quot;-&quot;_-;_-@_-">
                  <c:v>98783</c:v>
                </c:pt>
                <c:pt idx="7" formatCode="_-* #,##0_-;\-* #,##0_-;_-* &quot;-&quot;_-;_-@_-">
                  <c:v>87623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D1-4A42-A51B-5EAB8B28C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702041240"/>
        <c:axId val="702042552"/>
      </c:barChart>
      <c:catAx>
        <c:axId val="70204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2042552"/>
        <c:crosses val="autoZero"/>
        <c:auto val="1"/>
        <c:lblAlgn val="ctr"/>
        <c:lblOffset val="100"/>
        <c:noMultiLvlLbl val="0"/>
      </c:catAx>
      <c:valAx>
        <c:axId val="702042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204124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ソニーセグメント別営業利益</a:t>
            </a:r>
            <a:endParaRPr lang="en-ZA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024697099416277E-2"/>
          <c:y val="0.14487526607871937"/>
          <c:w val="0.8534776538820793"/>
          <c:h val="0.750669241924271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成長性!$B$33</c:f>
              <c:strCache>
                <c:ptCount val="1"/>
                <c:pt idx="0">
                  <c:v>G &amp; 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成長性!$C$33:$J$33</c:f>
              <c:numCache>
                <c:formatCode>General</c:formatCode>
                <c:ptCount val="8"/>
                <c:pt idx="0">
                  <c:v>88668</c:v>
                </c:pt>
                <c:pt idx="1">
                  <c:v>135553</c:v>
                </c:pt>
                <c:pt idx="2">
                  <c:v>177478</c:v>
                </c:pt>
                <c:pt idx="3">
                  <c:v>311092</c:v>
                </c:pt>
                <c:pt idx="4" formatCode="_-* #,##0_-;\-* #,##0_-;_-* &quot;-&quot;_-;_-@_-">
                  <c:v>238400</c:v>
                </c:pt>
                <c:pt idx="5" formatCode="_-* #,##0_-;\-* #,##0_-;_-* &quot;-&quot;_-;_-@_-">
                  <c:v>342192</c:v>
                </c:pt>
                <c:pt idx="6" formatCode="_-* #,##0_-;\-* #,##0_-;_-* &quot;-&quot;_-;_-@_-">
                  <c:v>346089</c:v>
                </c:pt>
                <c:pt idx="7" formatCode="_-* #,##0_-;\-* #,##0_-;_-* &quot;-&quot;_-;_-@_-">
                  <c:v>250006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0-448D-B847-D7AA21080463}"/>
            </c:ext>
          </c:extLst>
        </c:ser>
        <c:ser>
          <c:idx val="1"/>
          <c:order val="1"/>
          <c:tx>
            <c:strRef>
              <c:f>成長性!$B$34</c:f>
              <c:strCache>
                <c:ptCount val="1"/>
                <c:pt idx="0">
                  <c:v>音楽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成長性!$C$34:$J$34</c:f>
              <c:numCache>
                <c:formatCode>General</c:formatCode>
                <c:ptCount val="8"/>
                <c:pt idx="0">
                  <c:v>86509</c:v>
                </c:pt>
                <c:pt idx="1">
                  <c:v>75798</c:v>
                </c:pt>
                <c:pt idx="2">
                  <c:v>127786</c:v>
                </c:pt>
                <c:pt idx="3">
                  <c:v>232487</c:v>
                </c:pt>
                <c:pt idx="4" formatCode="_-* #,##0_-;\-* #,##0_-;_-* &quot;-&quot;_-;_-@_-">
                  <c:v>132345</c:v>
                </c:pt>
                <c:pt idx="5" formatCode="_-* #,##0_-;\-* #,##0_-;_-* &quot;-&quot;_-;_-@_-">
                  <c:v>188056</c:v>
                </c:pt>
                <c:pt idx="6" formatCode="_-* #,##0_-;\-* #,##0_-;_-* &quot;-&quot;_-;_-@_-">
                  <c:v>210933</c:v>
                </c:pt>
                <c:pt idx="7" formatCode="_-* #,##0_-;\-* #,##0_-;_-* &quot;-&quot;_-;_-@_-">
                  <c:v>263107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B0-448D-B847-D7AA21080463}"/>
            </c:ext>
          </c:extLst>
        </c:ser>
        <c:ser>
          <c:idx val="2"/>
          <c:order val="2"/>
          <c:tx>
            <c:strRef>
              <c:f>成長性!$B$35</c:f>
              <c:strCache>
                <c:ptCount val="1"/>
                <c:pt idx="0">
                  <c:v>映画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成長性!$C$35:$J$35</c:f>
              <c:numCache>
                <c:formatCode>General</c:formatCode>
                <c:ptCount val="8"/>
                <c:pt idx="0">
                  <c:v>38507</c:v>
                </c:pt>
                <c:pt idx="1">
                  <c:v>-80521</c:v>
                </c:pt>
                <c:pt idx="2">
                  <c:v>41110</c:v>
                </c:pt>
                <c:pt idx="3">
                  <c:v>54599</c:v>
                </c:pt>
                <c:pt idx="4" formatCode="_-* #,##0_-;\-* #,##0_-;_-* &quot;-&quot;_-;_-@_-">
                  <c:v>68157</c:v>
                </c:pt>
                <c:pt idx="5" formatCode="_-* #,##0_-;\-* #,##0_-;_-* &quot;-&quot;_-;_-@_-">
                  <c:v>80478</c:v>
                </c:pt>
                <c:pt idx="6" formatCode="_-* #,##0_-;\-* #,##0_-;_-* &quot;-&quot;_-;_-@_-">
                  <c:v>217393</c:v>
                </c:pt>
                <c:pt idx="7" formatCode="_-* #,##0_-;\-* #,##0_-;_-* &quot;-&quot;_-;_-@_-">
                  <c:v>119225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B0-448D-B847-D7AA21080463}"/>
            </c:ext>
          </c:extLst>
        </c:ser>
        <c:ser>
          <c:idx val="3"/>
          <c:order val="3"/>
          <c:tx>
            <c:strRef>
              <c:f>成長性!$B$36</c:f>
              <c:strCache>
                <c:ptCount val="1"/>
                <c:pt idx="0">
                  <c:v>EP&amp;S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成長性!$C$36:$J$36</c:f>
              <c:numCache>
                <c:formatCode>General</c:formatCode>
                <c:ptCount val="8"/>
                <c:pt idx="0">
                  <c:v>-10877</c:v>
                </c:pt>
                <c:pt idx="1">
                  <c:v>68668</c:v>
                </c:pt>
                <c:pt idx="2">
                  <c:v>58205</c:v>
                </c:pt>
                <c:pt idx="3">
                  <c:v>-7467</c:v>
                </c:pt>
                <c:pt idx="4" formatCode="_-* #,##0_-;\-* #,##0_-;_-* &quot;-&quot;_-;_-@_-">
                  <c:v>87276</c:v>
                </c:pt>
                <c:pt idx="5" formatCode="_-* #,##0_-;\-* #,##0_-;_-* &quot;-&quot;_-;_-@_-">
                  <c:v>139180</c:v>
                </c:pt>
                <c:pt idx="6" formatCode="_-* #,##0_-;\-* #,##0_-;_-* &quot;-&quot;_-;_-@_-">
                  <c:v>212942</c:v>
                </c:pt>
                <c:pt idx="7" formatCode="_-* #,##0_-;\-* #,##0_-;_-* &quot;-&quot;_-;_-@_-">
                  <c:v>179461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B0-448D-B847-D7AA21080463}"/>
            </c:ext>
          </c:extLst>
        </c:ser>
        <c:ser>
          <c:idx val="4"/>
          <c:order val="4"/>
          <c:tx>
            <c:strRef>
              <c:f>成長性!$B$37</c:f>
              <c:strCache>
                <c:ptCount val="1"/>
                <c:pt idx="0">
                  <c:v>I &amp; 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成長性!$C$37:$J$37</c:f>
              <c:numCache>
                <c:formatCode>General</c:formatCode>
                <c:ptCount val="8"/>
                <c:pt idx="0">
                  <c:v>69320</c:v>
                </c:pt>
                <c:pt idx="1">
                  <c:v>47257</c:v>
                </c:pt>
                <c:pt idx="2">
                  <c:v>74924</c:v>
                </c:pt>
                <c:pt idx="3">
                  <c:v>83975</c:v>
                </c:pt>
                <c:pt idx="4" formatCode="_-* #,##0_-;\-* #,##0_-;_-* &quot;-&quot;_-;_-@_-">
                  <c:v>235584</c:v>
                </c:pt>
                <c:pt idx="5" formatCode="_-* #,##0_-;\-* #,##0_-;_-* &quot;-&quot;_-;_-@_-">
                  <c:v>145876</c:v>
                </c:pt>
                <c:pt idx="6" formatCode="_-* #,##0_-;\-* #,##0_-;_-* &quot;-&quot;_-;_-@_-">
                  <c:v>155597</c:v>
                </c:pt>
                <c:pt idx="7" formatCode="_-* #,##0_-;\-* #,##0_-;_-* &quot;-&quot;_-;_-@_-">
                  <c:v>212214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0-448D-B847-D7AA21080463}"/>
            </c:ext>
          </c:extLst>
        </c:ser>
        <c:ser>
          <c:idx val="5"/>
          <c:order val="5"/>
          <c:tx>
            <c:strRef>
              <c:f>成長性!$B$38</c:f>
              <c:strCache>
                <c:ptCount val="1"/>
                <c:pt idx="0">
                  <c:v>金融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成長性!$C$38:$J$38</c:f>
              <c:numCache>
                <c:formatCode>General</c:formatCode>
                <c:ptCount val="8"/>
                <c:pt idx="0">
                  <c:v>156543</c:v>
                </c:pt>
                <c:pt idx="1">
                  <c:v>166424</c:v>
                </c:pt>
                <c:pt idx="2">
                  <c:v>178947</c:v>
                </c:pt>
                <c:pt idx="3">
                  <c:v>161477</c:v>
                </c:pt>
                <c:pt idx="4" formatCode="_-* #,##0_-;\-* #,##0_-;_-* &quot;-&quot;_-;_-@_-">
                  <c:v>129597</c:v>
                </c:pt>
                <c:pt idx="5" formatCode="_-* #,##0_-;\-* #,##0_-;_-* &quot;-&quot;_-;_-@_-">
                  <c:v>164582</c:v>
                </c:pt>
                <c:pt idx="6" formatCode="_-* #,##0_-;\-* #,##0_-;_-* &quot;-&quot;_-;_-@_-">
                  <c:v>150111</c:v>
                </c:pt>
                <c:pt idx="7" formatCode="_-* #,##0_-;\-* #,##0_-;_-* &quot;-&quot;_-;_-@_-">
                  <c:v>223935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B0-448D-B847-D7AA21080463}"/>
            </c:ext>
          </c:extLst>
        </c:ser>
        <c:ser>
          <c:idx val="6"/>
          <c:order val="6"/>
          <c:tx>
            <c:strRef>
              <c:f>成長性!$B$39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成長性!$C$39:$J$39</c:f>
              <c:numCache>
                <c:formatCode>General</c:formatCode>
                <c:ptCount val="8"/>
                <c:pt idx="0">
                  <c:v>-26752</c:v>
                </c:pt>
                <c:pt idx="1">
                  <c:v>-37395</c:v>
                </c:pt>
                <c:pt idx="2">
                  <c:v>140493</c:v>
                </c:pt>
                <c:pt idx="3">
                  <c:v>132747</c:v>
                </c:pt>
                <c:pt idx="4" formatCode="_-* #,##0_-;\-* #,##0_-;_-* &quot;-&quot;_-;_-@_-">
                  <c:v>16288</c:v>
                </c:pt>
                <c:pt idx="5" formatCode="_-* #,##0_-;\-* #,##0_-;_-* &quot;-&quot;_-;_-@_-">
                  <c:v>11368</c:v>
                </c:pt>
                <c:pt idx="6" formatCode="_-* #,##0_-;\-* #,##0_-;_-* &quot;-&quot;_-;_-@_-">
                  <c:v>17981</c:v>
                </c:pt>
                <c:pt idx="7" formatCode="_-* #,##0_-;\-* #,##0_-;_-* &quot;-&quot;_-;_-@_-">
                  <c:v>16849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B0-448D-B847-D7AA21080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702041240"/>
        <c:axId val="702042552"/>
      </c:barChart>
      <c:catAx>
        <c:axId val="70204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2042552"/>
        <c:crosses val="autoZero"/>
        <c:auto val="1"/>
        <c:lblAlgn val="ctr"/>
        <c:lblOffset val="100"/>
        <c:noMultiLvlLbl val="0"/>
      </c:catAx>
      <c:valAx>
        <c:axId val="702042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204124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00565633755974E-2"/>
          <c:y val="3.690888119953864E-2"/>
          <c:w val="0.91243114202221176"/>
          <c:h val="0.852763175535333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業界の比較!$B$4</c:f>
              <c:strCache>
                <c:ptCount val="1"/>
                <c:pt idx="0">
                  <c:v>流動資産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800945232137608E-3"/>
                  <c:y val="-3.645975230909439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269680114005767"/>
                      <c:h val="0.127007690711059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D57-4402-9698-C040FCAF8AB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57-4402-9698-C040FCAF8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業界の比較!$C$4:$D$4</c:f>
              <c:numCache>
                <c:formatCode>_-* #,##0_-;\-* #,##0_-;_-* "-"_-;_-@_-</c:formatCode>
                <c:ptCount val="2"/>
                <c:pt idx="0">
                  <c:v>243218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7-4402-9698-C040FCAF8AB5}"/>
            </c:ext>
          </c:extLst>
        </c:ser>
        <c:ser>
          <c:idx val="1"/>
          <c:order val="1"/>
          <c:tx>
            <c:strRef>
              <c:f>業界の比較!$B$5</c:f>
              <c:strCache>
                <c:ptCount val="1"/>
                <c:pt idx="0">
                  <c:v>固定資産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645975230909358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105632646628091"/>
                      <c:h val="0.105915580457917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AD57-4402-9698-C040FCAF8AB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57-4402-9698-C040FCAF8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業界の比較!$C$5:$D$5</c:f>
              <c:numCache>
                <c:formatCode>_-* #,##0_-;\-* #,##0_-;_-* "-"_-;_-@_-</c:formatCode>
                <c:ptCount val="2"/>
                <c:pt idx="0">
                  <c:v>11040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7-4402-9698-C040FCAF8AB5}"/>
            </c:ext>
          </c:extLst>
        </c:ser>
        <c:ser>
          <c:idx val="2"/>
          <c:order val="2"/>
          <c:tx>
            <c:strRef>
              <c:f>業界の比較!$B$6</c:f>
              <c:strCache>
                <c:ptCount val="1"/>
                <c:pt idx="0">
                  <c:v>負債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57-4402-9698-C040FCAF8AB5}"/>
                </c:ext>
              </c:extLst>
            </c:dLbl>
            <c:dLbl>
              <c:idx val="1"/>
              <c:layout>
                <c:manualLayout>
                  <c:x val="-5.5600795938873966E-3"/>
                  <c:y val="3.645831688577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571309424520429"/>
                      <c:h val="0.116908339321440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D57-4402-9698-C040FCAF8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業界の比較!$C$6:$D$6</c:f>
              <c:numCache>
                <c:formatCode>_-* #,##0_-;\-* #,##0_-;_-* "-"_-;_-@_-</c:formatCode>
                <c:ptCount val="2"/>
                <c:pt idx="0">
                  <c:v>0</c:v>
                </c:pt>
                <c:pt idx="1">
                  <c:v>245050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7-4402-9698-C040FCAF8AB5}"/>
            </c:ext>
          </c:extLst>
        </c:ser>
        <c:ser>
          <c:idx val="3"/>
          <c:order val="3"/>
          <c:tx>
            <c:strRef>
              <c:f>業界の比較!$B$7</c:f>
              <c:strCache>
                <c:ptCount val="1"/>
                <c:pt idx="0">
                  <c:v>自己資本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57-4402-9698-C040FCAF8AB5}"/>
                </c:ext>
              </c:extLst>
            </c:dLbl>
            <c:dLbl>
              <c:idx val="1"/>
              <c:layout>
                <c:manualLayout>
                  <c:x val="1.3900472616068249E-3"/>
                  <c:y val="9.11493807727342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537948290241875"/>
                      <c:h val="8.40945622432565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D57-4402-9698-C040FCAF8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業界の比較!$C$7:$D$7</c:f>
              <c:numCache>
                <c:formatCode>_-* #,##0_-;\-* #,##0_-;_-* "-"_-;_-@_-</c:formatCode>
                <c:ptCount val="2"/>
                <c:pt idx="0">
                  <c:v>0</c:v>
                </c:pt>
                <c:pt idx="1">
                  <c:v>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57-4402-9698-C040FCAF8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100"/>
        <c:axId val="711198488"/>
        <c:axId val="711200784"/>
      </c:barChart>
      <c:catAx>
        <c:axId val="71119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200784"/>
        <c:crosses val="autoZero"/>
        <c:auto val="1"/>
        <c:lblAlgn val="ctr"/>
        <c:lblOffset val="100"/>
        <c:noMultiLvlLbl val="0"/>
      </c:catAx>
      <c:valAx>
        <c:axId val="711200784"/>
        <c:scaling>
          <c:orientation val="minMax"/>
        </c:scaling>
        <c:delete val="0"/>
        <c:axPos val="l"/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19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00565633755974E-2"/>
          <c:y val="3.690888119953864E-2"/>
          <c:w val="0.91243114202221176"/>
          <c:h val="0.852763175535333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業界の比較!$B$12</c:f>
              <c:strCache>
                <c:ptCount val="1"/>
                <c:pt idx="0">
                  <c:v>流動資産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5593521979000176E-3"/>
                  <c:y val="-6.9388939039072284E-1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935055835585946"/>
                      <c:h val="9.79846399943907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0B7-418E-990D-477C4C2915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B7-418E-990D-477C4C2915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業界の比較!$C$12:$D$12</c:f>
              <c:numCache>
                <c:formatCode>_-* #,##0_-;\-* #,##0_-;_-* "-"_-;_-@_-</c:formatCode>
                <c:ptCount val="2"/>
                <c:pt idx="0">
                  <c:v>2062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B7-418E-990D-477C4C29159E}"/>
            </c:ext>
          </c:extLst>
        </c:ser>
        <c:ser>
          <c:idx val="1"/>
          <c:order val="1"/>
          <c:tx>
            <c:strRef>
              <c:f>業界の比較!$B$13</c:f>
              <c:strCache>
                <c:ptCount val="1"/>
                <c:pt idx="0">
                  <c:v>固定資産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01319763144615E-7"/>
                  <c:y val="1.3279390674722776E-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22318539600596"/>
                      <c:h val="9.79846399943907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B7-418E-990D-477C4C2915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B7-418E-990D-477C4C2915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業界の比較!$C$13:$D$13</c:f>
              <c:numCache>
                <c:formatCode>_-* #,##0_-;\-* #,##0_-;_-* "-"_-;_-@_-</c:formatCode>
                <c:ptCount val="2"/>
                <c:pt idx="0">
                  <c:v>1477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B7-418E-990D-477C4C29159E}"/>
            </c:ext>
          </c:extLst>
        </c:ser>
        <c:ser>
          <c:idx val="2"/>
          <c:order val="2"/>
          <c:tx>
            <c:strRef>
              <c:f>業界の比較!$B$14</c:f>
              <c:strCache>
                <c:ptCount val="1"/>
                <c:pt idx="0">
                  <c:v>負債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B7-418E-990D-477C4C29159E}"/>
                </c:ext>
              </c:extLst>
            </c:dLbl>
            <c:dLbl>
              <c:idx val="1"/>
              <c:layout>
                <c:manualLayout>
                  <c:x val="-3.5593521979000453E-3"/>
                  <c:y val="1.34918609286596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420715429791779"/>
                      <c:h val="8.79164715702852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0B7-418E-990D-477C4C2915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業界の比較!$C$14:$D$14</c:f>
              <c:numCache>
                <c:formatCode>_-* #,##0_-;\-* #,##0_-;_-* "-"_-;_-@_-</c:formatCode>
                <c:ptCount val="2"/>
                <c:pt idx="0">
                  <c:v>0</c:v>
                </c:pt>
                <c:pt idx="1">
                  <c:v>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B7-418E-990D-477C4C29159E}"/>
            </c:ext>
          </c:extLst>
        </c:ser>
        <c:ser>
          <c:idx val="3"/>
          <c:order val="3"/>
          <c:tx>
            <c:strRef>
              <c:f>業界の比較!$B$15</c:f>
              <c:strCache>
                <c:ptCount val="1"/>
                <c:pt idx="0">
                  <c:v>自己資本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B7-418E-990D-477C4C29159E}"/>
                </c:ext>
              </c:extLst>
            </c:dLbl>
            <c:dLbl>
              <c:idx val="1"/>
              <c:layout>
                <c:manualLayout>
                  <c:x val="1.7796760989498284E-3"/>
                  <c:y val="6.745930464329823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002861494955943"/>
                      <c:h val="9.79846399943907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0B7-418E-990D-477C4C2915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業界の比較!$C$15:$D$15</c:f>
              <c:numCache>
                <c:formatCode>_-* #,##0_-;\-* #,##0_-;_-* "-"_-;_-@_-</c:formatCode>
                <c:ptCount val="2"/>
                <c:pt idx="0">
                  <c:v>0</c:v>
                </c:pt>
                <c:pt idx="1">
                  <c:v>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B7-418E-990D-477C4C291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100"/>
        <c:axId val="711198488"/>
        <c:axId val="711200784"/>
      </c:barChart>
      <c:catAx>
        <c:axId val="71119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200784"/>
        <c:crosses val="autoZero"/>
        <c:auto val="1"/>
        <c:lblAlgn val="ctr"/>
        <c:lblOffset val="100"/>
        <c:noMultiLvlLbl val="0"/>
      </c:catAx>
      <c:valAx>
        <c:axId val="711200784"/>
        <c:scaling>
          <c:orientation val="minMax"/>
        </c:scaling>
        <c:delete val="0"/>
        <c:axPos val="l"/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19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00565633755974E-2"/>
          <c:y val="8.752891058127274E-2"/>
          <c:w val="0.91243114202221176"/>
          <c:h val="0.80214320941464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業界の比較!$B$19</c:f>
              <c:strCache>
                <c:ptCount val="1"/>
                <c:pt idx="0">
                  <c:v>流動資産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374672630182653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989592946766943"/>
                      <c:h val="9.80342399068058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8F3-46E4-8613-BA1E80D9EF6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F3-46E4-8613-BA1E80D9EF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業界の比較!$C$19:$D$19</c:f>
              <c:numCache>
                <c:formatCode>_-* #,##0_-;\-* #,##0_-;_-* "-"_-;_-@_-</c:formatCode>
                <c:ptCount val="2"/>
                <c:pt idx="0">
                  <c:v>5717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F3-46E4-8613-BA1E80D9EF69}"/>
            </c:ext>
          </c:extLst>
        </c:ser>
        <c:ser>
          <c:idx val="1"/>
          <c:order val="1"/>
          <c:tx>
            <c:strRef>
              <c:f>業界の比較!$B$20</c:f>
              <c:strCache>
                <c:ptCount val="1"/>
                <c:pt idx="0">
                  <c:v>固定資産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125519534497649E-3"/>
                  <c:y val="-6.8807177416231865E-1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158337751421961"/>
                      <c:h val="9.80342399068058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8F3-46E4-8613-BA1E80D9EF6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F3-46E4-8613-BA1E80D9EF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業界の比較!$C$20:$D$20</c:f>
              <c:numCache>
                <c:formatCode>_-* #,##0_-;\-* #,##0_-;_-* "-"_-;_-@_-</c:formatCode>
                <c:ptCount val="2"/>
                <c:pt idx="0">
                  <c:v>9207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F3-46E4-8613-BA1E80D9EF69}"/>
            </c:ext>
          </c:extLst>
        </c:ser>
        <c:ser>
          <c:idx val="2"/>
          <c:order val="2"/>
          <c:tx>
            <c:strRef>
              <c:f>業界の比較!$B$21</c:f>
              <c:strCache>
                <c:ptCount val="1"/>
                <c:pt idx="0">
                  <c:v>負債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F3-46E4-8613-BA1E80D9EF69}"/>
                </c:ext>
              </c:extLst>
            </c:dLbl>
            <c:dLbl>
              <c:idx val="1"/>
              <c:layout>
                <c:manualLayout>
                  <c:x val="-4.1562759767247714E-3"/>
                  <c:y val="-6.9388939039072284E-1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08934357020834"/>
                      <c:h val="9.80342399068058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8F3-46E4-8613-BA1E80D9EF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業界の比較!$C$21:$D$21</c:f>
              <c:numCache>
                <c:formatCode>_-* #,##0_-;\-* #,##0_-;_-* "-"_-;_-@_-</c:formatCode>
                <c:ptCount val="2"/>
                <c:pt idx="0">
                  <c:v>0</c:v>
                </c:pt>
                <c:pt idx="1">
                  <c:v>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F3-46E4-8613-BA1E80D9EF69}"/>
            </c:ext>
          </c:extLst>
        </c:ser>
        <c:ser>
          <c:idx val="3"/>
          <c:order val="3"/>
          <c:tx>
            <c:strRef>
              <c:f>業界の比較!$B$22</c:f>
              <c:strCache>
                <c:ptCount val="1"/>
                <c:pt idx="0">
                  <c:v>自己資本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F3-46E4-8613-BA1E80D9EF69}"/>
                </c:ext>
              </c:extLst>
            </c:dLbl>
            <c:dLbl>
              <c:idx val="1"/>
              <c:layout>
                <c:manualLayout>
                  <c:x val="-2.0781379883625106E-3"/>
                  <c:y val="-6.7493452603653312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405220544439429"/>
                      <c:h val="9.80342399068058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28F3-46E4-8613-BA1E80D9EF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業界の比較!$C$22:$D$22</c:f>
              <c:numCache>
                <c:formatCode>_-* #,##0_-;\-* #,##0_-;_-* "-"_-;_-@_-</c:formatCode>
                <c:ptCount val="2"/>
                <c:pt idx="0">
                  <c:v>0</c:v>
                </c:pt>
                <c:pt idx="1">
                  <c:v>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F3-46E4-8613-BA1E80D9E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100"/>
        <c:axId val="711198488"/>
        <c:axId val="711200784"/>
      </c:barChart>
      <c:catAx>
        <c:axId val="71119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200784"/>
        <c:crosses val="autoZero"/>
        <c:auto val="1"/>
        <c:lblAlgn val="ctr"/>
        <c:lblOffset val="100"/>
        <c:noMultiLvlLbl val="0"/>
      </c:catAx>
      <c:valAx>
        <c:axId val="711200784"/>
        <c:scaling>
          <c:orientation val="minMax"/>
        </c:scaling>
        <c:delete val="0"/>
        <c:axPos val="l"/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19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00565633755974E-2"/>
          <c:y val="3.690888119953864E-2"/>
          <c:w val="0.91243114202221176"/>
          <c:h val="0.852763175535333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業界の比較!$B$27</c:f>
              <c:strCache>
                <c:ptCount val="1"/>
                <c:pt idx="0">
                  <c:v>売上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179037316918891E-3"/>
                  <c:y val="1.1787486860068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956893127369446"/>
                      <c:h val="8.44153777776834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8C92-41F4-A279-530075E5F8F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92-41F4-A279-530075E5F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業界の比較!$C$27:$D$27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92-41F4-A279-530075E5F8F2}"/>
            </c:ext>
          </c:extLst>
        </c:ser>
        <c:ser>
          <c:idx val="1"/>
          <c:order val="1"/>
          <c:tx>
            <c:strRef>
              <c:f>業界の比較!$B$28</c:f>
              <c:strCache>
                <c:ptCount val="1"/>
                <c:pt idx="0">
                  <c:v>売上原価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92-41F4-A279-530075E5F8F2}"/>
                </c:ext>
              </c:extLst>
            </c:dLbl>
            <c:dLbl>
              <c:idx val="1"/>
              <c:layout>
                <c:manualLayout>
                  <c:x val="-2.0179037316919446E-3"/>
                  <c:y val="-6.9388939039072284E-1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896324237407159"/>
                      <c:h val="9.78361409385650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8C92-41F4-A279-530075E5F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業界の比較!$C$28:$D$28</c:f>
              <c:numCache>
                <c:formatCode>0%</c:formatCode>
                <c:ptCount val="2"/>
                <c:pt idx="0">
                  <c:v>0</c:v>
                </c:pt>
                <c:pt idx="1">
                  <c:v>0.28459734167318218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92-41F4-A279-530075E5F8F2}"/>
            </c:ext>
          </c:extLst>
        </c:ser>
        <c:ser>
          <c:idx val="2"/>
          <c:order val="2"/>
          <c:tx>
            <c:strRef>
              <c:f>業界の比較!$B$29</c:f>
              <c:strCache>
                <c:ptCount val="1"/>
                <c:pt idx="0">
                  <c:v>販管費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92-41F4-A279-530075E5F8F2}"/>
                </c:ext>
              </c:extLst>
            </c:dLbl>
            <c:dLbl>
              <c:idx val="1"/>
              <c:layout>
                <c:manualLayout>
                  <c:x val="-2.0179037316918891E-3"/>
                  <c:y val="1.010356016577263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299904983745548"/>
                      <c:h val="9.78361409385650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C92-41F4-A279-530075E5F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業界の比較!$C$29:$D$29</c:f>
              <c:numCache>
                <c:formatCode>0%</c:formatCode>
                <c:ptCount val="2"/>
                <c:pt idx="0">
                  <c:v>0</c:v>
                </c:pt>
                <c:pt idx="1">
                  <c:v>0.6207974980453479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92-41F4-A279-530075E5F8F2}"/>
            </c:ext>
          </c:extLst>
        </c:ser>
        <c:ser>
          <c:idx val="3"/>
          <c:order val="3"/>
          <c:tx>
            <c:strRef>
              <c:f>業界の比較!$B$30</c:f>
              <c:strCache>
                <c:ptCount val="1"/>
                <c:pt idx="0">
                  <c:v>営業利益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92-41F4-A279-530075E5F8F2}"/>
                </c:ext>
              </c:extLst>
            </c:dLbl>
            <c:dLbl>
              <c:idx val="1"/>
              <c:layout>
                <c:manualLayout>
                  <c:x val="-6.053711195075695E-3"/>
                  <c:y val="-6.9388939039072284E-1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089162744730409"/>
                      <c:h val="9.78361409385650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C92-41F4-A279-530075E5F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業界の比較!$C$30:$D$30</c:f>
              <c:numCache>
                <c:formatCode>0%</c:formatCode>
                <c:ptCount val="2"/>
                <c:pt idx="0">
                  <c:v>0</c:v>
                </c:pt>
                <c:pt idx="1">
                  <c:v>9.4605160281469897E-2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C92-41F4-A279-530075E5F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100"/>
        <c:axId val="711198488"/>
        <c:axId val="711200784"/>
      </c:barChart>
      <c:catAx>
        <c:axId val="71119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200784"/>
        <c:crosses val="autoZero"/>
        <c:auto val="1"/>
        <c:lblAlgn val="ctr"/>
        <c:lblOffset val="100"/>
        <c:noMultiLvlLbl val="0"/>
      </c:catAx>
      <c:valAx>
        <c:axId val="7112007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19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Historical</a:t>
            </a:r>
            <a:r>
              <a:rPr lang="en-US" sz="1800" b="1" baseline="0"/>
              <a:t> </a:t>
            </a:r>
            <a:r>
              <a:rPr lang="en-US" sz="1800" b="1"/>
              <a:t>ROA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0389324510759621E-2"/>
          <c:y val="0.22610821500498032"/>
          <c:w val="0.91904238314520814"/>
          <c:h val="0.57503035458517826"/>
        </c:manualLayout>
      </c:layout>
      <c:lineChart>
        <c:grouping val="standard"/>
        <c:varyColors val="0"/>
        <c:ser>
          <c:idx val="1"/>
          <c:order val="1"/>
          <c:tx>
            <c:strRef>
              <c:f>収益性!$B$11</c:f>
              <c:strCache>
                <c:ptCount val="1"/>
                <c:pt idx="0">
                  <c:v>ROA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収益性!$C$9:$J$9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収益性!$C$11:$J$11</c:f>
              <c:numCache>
                <c:formatCode>0.0%</c:formatCode>
                <c:ptCount val="8"/>
                <c:pt idx="0">
                  <c:v>1.2577826104949263E-2</c:v>
                </c:pt>
                <c:pt idx="1">
                  <c:v>7.2229322791422879E-3</c:v>
                </c:pt>
                <c:pt idx="2">
                  <c:v>2.8705143279985069E-2</c:v>
                </c:pt>
                <c:pt idx="3">
                  <c:v>4.6066584289671905E-2</c:v>
                </c:pt>
                <c:pt idx="4">
                  <c:v>2.7008582666615103E-2</c:v>
                </c:pt>
                <c:pt idx="5">
                  <c:v>4.520497942692879E-2</c:v>
                </c:pt>
                <c:pt idx="6">
                  <c:v>2.9146253791751422E-2</c:v>
                </c:pt>
                <c:pt idx="7">
                  <c:v>2.9123376889921004E-2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A-411C-ABEB-E9FF1EFE9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896152"/>
        <c:axId val="6668971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収益性!$B$10</c15:sqref>
                        </c15:formulaRef>
                      </c:ext>
                    </c:extLst>
                    <c:strCache>
                      <c:ptCount val="1"/>
                      <c:pt idx="0">
                        <c:v>ROE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収益性!$C$9:$J$9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収益性!$C$10:$J$10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6.7121472534014417E-2</c:v>
                      </c:pt>
                      <c:pt idx="1">
                        <c:v>4.0683837773671294E-2</c:v>
                      </c:pt>
                      <c:pt idx="2">
                        <c:v>0.15005633154810719</c:v>
                      </c:pt>
                      <c:pt idx="3">
                        <c:v>0.21785385050566977</c:v>
                      </c:pt>
                      <c:pt idx="4">
                        <c:v>0.12992075431122227</c:v>
                      </c:pt>
                      <c:pt idx="5">
                        <c:v>0.21193188408168959</c:v>
                      </c:pt>
                      <c:pt idx="6">
                        <c:v>0.1234368853988517</c:v>
                      </c:pt>
                      <c:pt idx="7">
                        <c:v>0.12947191411136885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EDA-411C-ABEB-E9FF1EFE9C2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収益性!$B$12</c15:sqref>
                        </c15:formulaRef>
                      </c:ext>
                    </c:extLst>
                    <c:strCache>
                      <c:ptCount val="1"/>
                      <c:pt idx="0">
                        <c:v>総資本回転率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収益性!$C$9:$J$9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収益性!$C$12:$J$12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0.486146608458148</c:v>
                      </c:pt>
                      <c:pt idx="1">
                        <c:v>0.430521553228562</c:v>
                      </c:pt>
                      <c:pt idx="2">
                        <c:v>0.44813747191398429</c:v>
                      </c:pt>
                      <c:pt idx="3">
                        <c:v>0.4130139161071999</c:v>
                      </c:pt>
                      <c:pt idx="4">
                        <c:v>0.35851217632377796</c:v>
                      </c:pt>
                      <c:pt idx="5">
                        <c:v>0.34146896736994042</c:v>
                      </c:pt>
                      <c:pt idx="6">
                        <c:v>0.32549863001393625</c:v>
                      </c:pt>
                      <c:pt idx="7">
                        <c:v>0.35615437590594579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EDA-411C-ABEB-E9FF1EFE9C21}"/>
                  </c:ext>
                </c:extLst>
              </c15:ser>
            </c15:filteredLineSeries>
          </c:ext>
        </c:extLst>
      </c:lineChart>
      <c:catAx>
        <c:axId val="6668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897136"/>
        <c:crosses val="autoZero"/>
        <c:auto val="1"/>
        <c:lblAlgn val="ctr"/>
        <c:lblOffset val="100"/>
        <c:noMultiLvlLbl val="0"/>
      </c:catAx>
      <c:valAx>
        <c:axId val="666897136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89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00565633755974E-2"/>
          <c:y val="3.690888119953864E-2"/>
          <c:w val="0.91243114202221176"/>
          <c:h val="0.852763175535333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業界の比較!$B$34</c:f>
              <c:strCache>
                <c:ptCount val="1"/>
                <c:pt idx="0">
                  <c:v>売上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388939039072284E-17"/>
                  <c:y val="1.68819087882432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79918040610622"/>
                      <c:h val="6.43708511379868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B6B-4019-ACE6-9C1AEDD0B9C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6B-4019-ACE6-9C1AEDD0B9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業界の比較!$C$34:$D$34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6B-4019-ACE6-9C1AEDD0B9CA}"/>
            </c:ext>
          </c:extLst>
        </c:ser>
        <c:ser>
          <c:idx val="1"/>
          <c:order val="1"/>
          <c:tx>
            <c:strRef>
              <c:f>業界の比較!$B$35</c:f>
              <c:strCache>
                <c:ptCount val="1"/>
                <c:pt idx="0">
                  <c:v>売上原価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6B-4019-ACE6-9C1AEDD0B9CA}"/>
                </c:ext>
              </c:extLst>
            </c:dLbl>
            <c:dLbl>
              <c:idx val="1"/>
              <c:layout>
                <c:manualLayout>
                  <c:x val="-4.0406997091969599E-3"/>
                  <c:y val="-3.376381757648648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162957919453262"/>
                      <c:h val="9.80838900596928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B6B-4019-ACE6-9C1AEDD0B9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業界の比較!$C$35:$D$35</c:f>
              <c:numCache>
                <c:formatCode>0%</c:formatCode>
                <c:ptCount val="2"/>
                <c:pt idx="0">
                  <c:v>0</c:v>
                </c:pt>
                <c:pt idx="1">
                  <c:v>0.21724137931034482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6B-4019-ACE6-9C1AEDD0B9CA}"/>
            </c:ext>
          </c:extLst>
        </c:ser>
        <c:ser>
          <c:idx val="2"/>
          <c:order val="2"/>
          <c:tx>
            <c:strRef>
              <c:f>業界の比較!$B$36</c:f>
              <c:strCache>
                <c:ptCount val="1"/>
                <c:pt idx="0">
                  <c:v>販管費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6B-4019-ACE6-9C1AEDD0B9CA}"/>
                </c:ext>
              </c:extLst>
            </c:dLbl>
            <c:dLbl>
              <c:idx val="1"/>
              <c:layout>
                <c:manualLayout>
                  <c:x val="4.0406997091967656E-3"/>
                  <c:y val="-3.376381757648648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950748006694191"/>
                      <c:h val="9.80838900596928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B6B-4019-ACE6-9C1AEDD0B9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業界の比較!$C$36:$D$36</c:f>
              <c:numCache>
                <c:formatCode>0%</c:formatCode>
                <c:ptCount val="2"/>
                <c:pt idx="0">
                  <c:v>0</c:v>
                </c:pt>
                <c:pt idx="1">
                  <c:v>0.5336206896551724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6B-4019-ACE6-9C1AEDD0B9CA}"/>
            </c:ext>
          </c:extLst>
        </c:ser>
        <c:ser>
          <c:idx val="3"/>
          <c:order val="3"/>
          <c:tx>
            <c:strRef>
              <c:f>業界の比較!$B$37</c:f>
              <c:strCache>
                <c:ptCount val="1"/>
                <c:pt idx="0">
                  <c:v>営業利益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6B-4019-ACE6-9C1AEDD0B9CA}"/>
                </c:ext>
              </c:extLst>
            </c:dLbl>
            <c:dLbl>
              <c:idx val="1"/>
              <c:layout>
                <c:manualLayout>
                  <c:x val="-2.7755575615628914E-17"/>
                  <c:y val="-3.376381757648648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546678035774501"/>
                      <c:h val="9.80838900596928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6B6B-4019-ACE6-9C1AEDD0B9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業界の比較!$C$37:$D$37</c:f>
              <c:numCache>
                <c:formatCode>0%</c:formatCode>
                <c:ptCount val="2"/>
                <c:pt idx="0">
                  <c:v>0</c:v>
                </c:pt>
                <c:pt idx="1">
                  <c:v>0.24913793103448276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6B-4019-ACE6-9C1AEDD0B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100"/>
        <c:axId val="711198488"/>
        <c:axId val="711200784"/>
      </c:barChart>
      <c:catAx>
        <c:axId val="71119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200784"/>
        <c:crosses val="autoZero"/>
        <c:auto val="1"/>
        <c:lblAlgn val="ctr"/>
        <c:lblOffset val="100"/>
        <c:noMultiLvlLbl val="0"/>
      </c:catAx>
      <c:valAx>
        <c:axId val="7112007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19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00565633755974E-2"/>
          <c:y val="3.690888119953864E-2"/>
          <c:w val="0.91243114202221176"/>
          <c:h val="0.852763175535333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業界の比較!$B$41</c:f>
              <c:strCache>
                <c:ptCount val="1"/>
                <c:pt idx="0">
                  <c:v>売上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0406997091968488E-3"/>
                  <c:y val="1.35260781722114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607320347945606"/>
                      <c:h val="8.81394400203636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8D1-4E0B-8F50-178921C244C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1-4E0B-8F50-178921C244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業界の比較!$C$41:$D$41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D1-4E0B-8F50-178921C244C5}"/>
            </c:ext>
          </c:extLst>
        </c:ser>
        <c:ser>
          <c:idx val="1"/>
          <c:order val="1"/>
          <c:tx>
            <c:strRef>
              <c:f>業界の比較!$B$42</c:f>
              <c:strCache>
                <c:ptCount val="1"/>
                <c:pt idx="0">
                  <c:v>売上原価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1-4E0B-8F50-178921C244C5}"/>
                </c:ext>
              </c:extLst>
            </c:dLbl>
            <c:dLbl>
              <c:idx val="1"/>
              <c:layout>
                <c:manualLayout>
                  <c:x val="0"/>
                  <c:y val="-3.38165267374353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162957919453262"/>
                      <c:h val="9.82331427256857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8D1-4E0B-8F50-178921C244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業界の比較!$C$42:$D$42</c:f>
              <c:numCache>
                <c:formatCode>0%</c:formatCode>
                <c:ptCount val="2"/>
                <c:pt idx="0">
                  <c:v>0</c:v>
                </c:pt>
                <c:pt idx="1">
                  <c:v>7.0298165137614679E-2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D1-4E0B-8F50-178921C244C5}"/>
            </c:ext>
          </c:extLst>
        </c:ser>
        <c:ser>
          <c:idx val="2"/>
          <c:order val="2"/>
          <c:tx>
            <c:strRef>
              <c:f>業界の比較!$B$43</c:f>
              <c:strCache>
                <c:ptCount val="1"/>
                <c:pt idx="0">
                  <c:v>販管費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D1-4E0B-8F50-178921C244C5}"/>
                </c:ext>
              </c:extLst>
            </c:dLbl>
            <c:dLbl>
              <c:idx val="1"/>
              <c:layout>
                <c:manualLayout>
                  <c:x val="-4.0406997091969876E-3"/>
                  <c:y val="-6.89327027021071E-1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950748006694191"/>
                      <c:h val="9.82331427256857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1-4E0B-8F50-178921C244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業界の比較!$C$43:$D$43</c:f>
              <c:numCache>
                <c:formatCode>0%</c:formatCode>
                <c:ptCount val="2"/>
                <c:pt idx="0">
                  <c:v>0</c:v>
                </c:pt>
                <c:pt idx="1">
                  <c:v>0.66261467889908265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D1-4E0B-8F50-178921C244C5}"/>
            </c:ext>
          </c:extLst>
        </c:ser>
        <c:ser>
          <c:idx val="3"/>
          <c:order val="3"/>
          <c:tx>
            <c:strRef>
              <c:f>業界の比較!$B$44</c:f>
              <c:strCache>
                <c:ptCount val="1"/>
                <c:pt idx="0">
                  <c:v>営業利益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1-4E0B-8F50-178921C244C5}"/>
                </c:ext>
              </c:extLst>
            </c:dLbl>
            <c:dLbl>
              <c:idx val="1"/>
              <c:layout>
                <c:manualLayout>
                  <c:x val="-2.0203498545985077E-3"/>
                  <c:y val="-6.9388939039072284E-1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758887948533578"/>
                      <c:h val="9.82331427256857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8D1-4E0B-8F50-178921C244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業界の比較!$C$44:$D$44</c:f>
              <c:numCache>
                <c:formatCode>0%</c:formatCode>
                <c:ptCount val="2"/>
                <c:pt idx="0">
                  <c:v>0</c:v>
                </c:pt>
                <c:pt idx="1">
                  <c:v>0.26708715596330274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8D1-4E0B-8F50-178921C24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100"/>
        <c:axId val="711198488"/>
        <c:axId val="711200784"/>
      </c:barChart>
      <c:catAx>
        <c:axId val="71119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200784"/>
        <c:crosses val="autoZero"/>
        <c:auto val="1"/>
        <c:lblAlgn val="ctr"/>
        <c:lblOffset val="100"/>
        <c:noMultiLvlLbl val="0"/>
      </c:catAx>
      <c:valAx>
        <c:axId val="7112007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19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altLang="ja-JP" b="1"/>
              <a:t>Hisotorical</a:t>
            </a:r>
            <a:r>
              <a:rPr lang="en-ZA" altLang="ja-JP" b="1" baseline="0"/>
              <a:t> </a:t>
            </a:r>
            <a:r>
              <a:rPr lang="ja-JP" altLang="en-US" b="1" baseline="0"/>
              <a:t>総資本回転率</a:t>
            </a:r>
            <a:endParaRPr lang="ja-JP" alt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5525333718445683E-2"/>
          <c:y val="0.22343713956170705"/>
          <c:w val="0.90390637393752205"/>
          <c:h val="0.56399821994569022"/>
        </c:manualLayout>
      </c:layout>
      <c:lineChart>
        <c:grouping val="standard"/>
        <c:varyColors val="0"/>
        <c:ser>
          <c:idx val="2"/>
          <c:order val="2"/>
          <c:tx>
            <c:strRef>
              <c:f>収益性!$B$12</c:f>
              <c:strCache>
                <c:ptCount val="1"/>
                <c:pt idx="0">
                  <c:v>総資本回転率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収益性!$C$9:$J$9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収益性!$C$12:$J$12</c:f>
              <c:numCache>
                <c:formatCode>0.0%</c:formatCode>
                <c:ptCount val="8"/>
                <c:pt idx="0">
                  <c:v>0.486146608458148</c:v>
                </c:pt>
                <c:pt idx="1">
                  <c:v>0.430521553228562</c:v>
                </c:pt>
                <c:pt idx="2">
                  <c:v>0.44813747191398429</c:v>
                </c:pt>
                <c:pt idx="3">
                  <c:v>0.4130139161071999</c:v>
                </c:pt>
                <c:pt idx="4">
                  <c:v>0.35851217632377796</c:v>
                </c:pt>
                <c:pt idx="5">
                  <c:v>0.34146896736994042</c:v>
                </c:pt>
                <c:pt idx="6">
                  <c:v>0.32549863001393625</c:v>
                </c:pt>
                <c:pt idx="7">
                  <c:v>0.35615437590594579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F3-4805-B303-1AA49B77A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896152"/>
        <c:axId val="6668971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収益性!$B$10</c15:sqref>
                        </c15:formulaRef>
                      </c:ext>
                    </c:extLst>
                    <c:strCache>
                      <c:ptCount val="1"/>
                      <c:pt idx="0">
                        <c:v>ROE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収益性!$C$9:$J$9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収益性!$C$10:$J$10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6.7121472534014417E-2</c:v>
                      </c:pt>
                      <c:pt idx="1">
                        <c:v>4.0683837773671294E-2</c:v>
                      </c:pt>
                      <c:pt idx="2">
                        <c:v>0.15005633154810719</c:v>
                      </c:pt>
                      <c:pt idx="3">
                        <c:v>0.21785385050566977</c:v>
                      </c:pt>
                      <c:pt idx="4">
                        <c:v>0.12992075431122227</c:v>
                      </c:pt>
                      <c:pt idx="5">
                        <c:v>0.21193188408168959</c:v>
                      </c:pt>
                      <c:pt idx="6">
                        <c:v>0.1234368853988517</c:v>
                      </c:pt>
                      <c:pt idx="7">
                        <c:v>0.12947191411136885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DAF3-4805-B303-1AA49B77AC39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収益性!$B$11</c15:sqref>
                        </c15:formulaRef>
                      </c:ext>
                    </c:extLst>
                    <c:strCache>
                      <c:ptCount val="1"/>
                      <c:pt idx="0">
                        <c:v>ROA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収益性!$C$9:$J$9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収益性!$C$11:$J$11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1.2577826104949263E-2</c:v>
                      </c:pt>
                      <c:pt idx="1">
                        <c:v>7.2229322791422879E-3</c:v>
                      </c:pt>
                      <c:pt idx="2">
                        <c:v>2.8705143279985069E-2</c:v>
                      </c:pt>
                      <c:pt idx="3">
                        <c:v>4.6066584289671905E-2</c:v>
                      </c:pt>
                      <c:pt idx="4">
                        <c:v>2.7008582666615103E-2</c:v>
                      </c:pt>
                      <c:pt idx="5">
                        <c:v>4.520497942692879E-2</c:v>
                      </c:pt>
                      <c:pt idx="6">
                        <c:v>2.9146253791751422E-2</c:v>
                      </c:pt>
                      <c:pt idx="7">
                        <c:v>2.9123376889921004E-2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AF3-4805-B303-1AA49B77AC39}"/>
                  </c:ext>
                </c:extLst>
              </c15:ser>
            </c15:filteredLineSeries>
          </c:ext>
        </c:extLst>
      </c:lineChart>
      <c:catAx>
        <c:axId val="6668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897136"/>
        <c:crosses val="autoZero"/>
        <c:auto val="1"/>
        <c:lblAlgn val="ctr"/>
        <c:lblOffset val="100"/>
        <c:noMultiLvlLbl val="0"/>
      </c:catAx>
      <c:valAx>
        <c:axId val="666897136"/>
        <c:scaling>
          <c:orientation val="minMax"/>
          <c:min val="0.2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89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総資産と金融関連ビジネスの資産</a:t>
            </a:r>
            <a:endParaRPr lang="en-ZA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収益性!$B$24</c:f>
              <c:strCache>
                <c:ptCount val="1"/>
                <c:pt idx="0">
                  <c:v>総資産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収益性!$C$23:$J$23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収益性!$C$24:$J$24</c:f>
              <c:numCache>
                <c:formatCode>_-* #,##0_-;\-* #,##0_-;_-* "-"_-;_-@_-</c:formatCode>
                <c:ptCount val="8"/>
                <c:pt idx="0">
                  <c:v>16673390</c:v>
                </c:pt>
                <c:pt idx="1">
                  <c:v>17660556</c:v>
                </c:pt>
                <c:pt idx="2">
                  <c:v>19065538</c:v>
                </c:pt>
                <c:pt idx="3">
                  <c:v>20981586</c:v>
                </c:pt>
                <c:pt idx="4">
                  <c:v>23039343</c:v>
                </c:pt>
                <c:pt idx="5">
                  <c:v>26354840</c:v>
                </c:pt>
                <c:pt idx="6">
                  <c:v>30480967</c:v>
                </c:pt>
                <c:pt idx="7">
                  <c:v>32401222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6-44F2-80BB-854CFB276DB8}"/>
            </c:ext>
          </c:extLst>
        </c:ser>
        <c:ser>
          <c:idx val="1"/>
          <c:order val="1"/>
          <c:tx>
            <c:strRef>
              <c:f>収益性!$B$25</c:f>
              <c:strCache>
                <c:ptCount val="1"/>
                <c:pt idx="0">
                  <c:v>金融総資産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収益性!$C$23:$J$23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収益性!$C$25:$J$25</c:f>
              <c:numCache>
                <c:formatCode>_-* #,##0_-;\-* #,##0_-;_-* "-"_-;_-@_-</c:formatCode>
                <c:ptCount val="8"/>
                <c:pt idx="0">
                  <c:v>10915529</c:v>
                </c:pt>
                <c:pt idx="1">
                  <c:v>12063875</c:v>
                </c:pt>
                <c:pt idx="2">
                  <c:v>13030529</c:v>
                </c:pt>
                <c:pt idx="3">
                  <c:v>14152681</c:v>
                </c:pt>
                <c:pt idx="4">
                  <c:v>15908748</c:v>
                </c:pt>
                <c:pt idx="5">
                  <c:v>18092937</c:v>
                </c:pt>
                <c:pt idx="6">
                  <c:v>20974027</c:v>
                </c:pt>
                <c:pt idx="7">
                  <c:v>20805535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6-44F2-80BB-854CFB276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74320"/>
        <c:axId val="486578584"/>
      </c:lineChart>
      <c:catAx>
        <c:axId val="48657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578584"/>
        <c:crosses val="autoZero"/>
        <c:auto val="1"/>
        <c:lblAlgn val="ctr"/>
        <c:lblOffset val="100"/>
        <c:noMultiLvlLbl val="0"/>
      </c:catAx>
      <c:valAx>
        <c:axId val="486578584"/>
        <c:scaling>
          <c:orientation val="minMax"/>
        </c:scaling>
        <c:delete val="0"/>
        <c:axPos val="l"/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57432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当期純利益の推移</a:t>
            </a:r>
            <a:endParaRPr lang="en-ZA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収益性!$B$29</c:f>
              <c:strCache>
                <c:ptCount val="1"/>
                <c:pt idx="0">
                  <c:v>当期純利益率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収益性!$C$28:$J$28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収益性!$C$29:$J$29</c:f>
              <c:numCache>
                <c:formatCode>_-* #,##0_-;\-* #,##0_-;_-* "-"_-;_-@_-</c:formatCode>
                <c:ptCount val="8"/>
                <c:pt idx="0">
                  <c:v>90913</c:v>
                </c:pt>
                <c:pt idx="1">
                  <c:v>8848</c:v>
                </c:pt>
                <c:pt idx="2">
                  <c:v>420358</c:v>
                </c:pt>
                <c:pt idx="3">
                  <c:v>850144</c:v>
                </c:pt>
                <c:pt idx="4">
                  <c:v>529477</c:v>
                </c:pt>
                <c:pt idx="5">
                  <c:v>1074635</c:v>
                </c:pt>
                <c:pt idx="6">
                  <c:v>784190</c:v>
                </c:pt>
                <c:pt idx="7">
                  <c:v>783935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1-4A63-AF45-26BEE75532D4}"/>
            </c:ext>
          </c:extLst>
        </c:ser>
        <c:ser>
          <c:idx val="1"/>
          <c:order val="1"/>
          <c:tx>
            <c:strRef>
              <c:f>収益性!$B$30</c:f>
              <c:strCache>
                <c:ptCount val="1"/>
                <c:pt idx="0">
                  <c:v>金融当期純利益率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収益性!$C$28:$J$28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収益性!$C$30:$J$30</c:f>
              <c:numCache>
                <c:formatCode>_-* #,##0_-;\-* #,##0_-;_-* "-"_-;_-@_-</c:formatCode>
                <c:ptCount val="8"/>
                <c:pt idx="0">
                  <c:v>118802</c:v>
                </c:pt>
                <c:pt idx="1">
                  <c:v>118713</c:v>
                </c:pt>
                <c:pt idx="2">
                  <c:v>126921</c:v>
                </c:pt>
                <c:pt idx="3">
                  <c:v>116406</c:v>
                </c:pt>
                <c:pt idx="4">
                  <c:v>92783</c:v>
                </c:pt>
                <c:pt idx="5">
                  <c:v>116735</c:v>
                </c:pt>
                <c:pt idx="6">
                  <c:v>104216</c:v>
                </c:pt>
                <c:pt idx="7">
                  <c:v>159698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51-4A63-AF45-26BEE7553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1097264"/>
        <c:axId val="354114552"/>
      </c:barChart>
      <c:catAx>
        <c:axId val="48109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4114552"/>
        <c:crosses val="autoZero"/>
        <c:auto val="1"/>
        <c:lblAlgn val="ctr"/>
        <c:lblOffset val="100"/>
        <c:noMultiLvlLbl val="0"/>
      </c:catAx>
      <c:valAx>
        <c:axId val="3541145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09726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altLang="ja-JP" sz="1600" b="1"/>
              <a:t>FY22 </a:t>
            </a:r>
            <a:r>
              <a:rPr lang="ja-JP" altLang="en-US" sz="1600" b="1"/>
              <a:t>企業別の売上、当期純利益</a:t>
            </a:r>
            <a:endParaRPr lang="en-ZA" sz="1600" b="1"/>
          </a:p>
        </c:rich>
      </c:tx>
      <c:layout>
        <c:manualLayout>
          <c:xMode val="edge"/>
          <c:yMode val="edge"/>
          <c:x val="0.2166567304086989"/>
          <c:y val="1.1795822226902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収益性!$B$35</c:f>
              <c:strCache>
                <c:ptCount val="1"/>
                <c:pt idx="0">
                  <c:v>売上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収益性!$C$34:$G$34</c:f>
              <c:strCache>
                <c:ptCount val="5"/>
                <c:pt idx="0">
                  <c:v>ソニー</c:v>
                </c:pt>
                <c:pt idx="1">
                  <c:v>パナソニック</c:v>
                </c:pt>
                <c:pt idx="2">
                  <c:v>FR</c:v>
                </c:pt>
                <c:pt idx="3">
                  <c:v>アップル</c:v>
                </c:pt>
                <c:pt idx="4">
                  <c:v>Netflix</c:v>
                </c:pt>
              </c:strCache>
            </c:strRef>
          </c:cat>
          <c:val>
            <c:numRef>
              <c:f>収益性!$C$35:$G$35</c:f>
              <c:numCache>
                <c:formatCode>_-* #,##0_-;\-* #,##0_-;_-* "-"_-;_-@_-</c:formatCode>
                <c:ptCount val="5"/>
                <c:pt idx="0">
                  <c:v>11539837</c:v>
                </c:pt>
                <c:pt idx="1">
                  <c:v>8378942</c:v>
                </c:pt>
                <c:pt idx="2">
                  <c:v>2301122</c:v>
                </c:pt>
                <c:pt idx="3">
                  <c:v>51262640</c:v>
                </c:pt>
                <c:pt idx="4">
                  <c:v>4109950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6-4D3D-AA3B-EA35BDCE281F}"/>
            </c:ext>
          </c:extLst>
        </c:ser>
        <c:ser>
          <c:idx val="1"/>
          <c:order val="1"/>
          <c:tx>
            <c:strRef>
              <c:f>収益性!$B$36</c:f>
              <c:strCache>
                <c:ptCount val="1"/>
                <c:pt idx="0">
                  <c:v>当期純利益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収益性!$C$34:$G$34</c:f>
              <c:strCache>
                <c:ptCount val="5"/>
                <c:pt idx="0">
                  <c:v>ソニー</c:v>
                </c:pt>
                <c:pt idx="1">
                  <c:v>パナソニック</c:v>
                </c:pt>
                <c:pt idx="2">
                  <c:v>FR</c:v>
                </c:pt>
                <c:pt idx="3">
                  <c:v>アップル</c:v>
                </c:pt>
                <c:pt idx="4">
                  <c:v>Netflix</c:v>
                </c:pt>
              </c:strCache>
            </c:strRef>
          </c:cat>
          <c:val>
            <c:numRef>
              <c:f>収益性!$C$36:$G$36</c:f>
              <c:numCache>
                <c:formatCode>_-* #,##0_-;\-* #,##0_-;_-* "-"_-;_-@_-</c:formatCode>
                <c:ptCount val="5"/>
                <c:pt idx="0">
                  <c:v>943633</c:v>
                </c:pt>
                <c:pt idx="1">
                  <c:v>280556</c:v>
                </c:pt>
                <c:pt idx="2">
                  <c:v>284750</c:v>
                </c:pt>
                <c:pt idx="3">
                  <c:v>12974390</c:v>
                </c:pt>
                <c:pt idx="4">
                  <c:v>583830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A6-4D3D-AA3B-EA35BDCE2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9783016"/>
        <c:axId val="83978334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収益性!$B$37</c15:sqref>
                        </c15:formulaRef>
                      </c:ext>
                    </c:extLst>
                    <c:strCache>
                      <c:ptCount val="1"/>
                      <c:pt idx="0">
                        <c:v>当期純利益率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収益性!$C$34:$G$34</c15:sqref>
                        </c15:formulaRef>
                      </c:ext>
                    </c:extLst>
                    <c:strCache>
                      <c:ptCount val="5"/>
                      <c:pt idx="0">
                        <c:v>ソニー</c:v>
                      </c:pt>
                      <c:pt idx="1">
                        <c:v>パナソニック</c:v>
                      </c:pt>
                      <c:pt idx="2">
                        <c:v>FR</c:v>
                      </c:pt>
                      <c:pt idx="3">
                        <c:v>アップル</c:v>
                      </c:pt>
                      <c:pt idx="4">
                        <c:v>Netflix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収益性!$C$37:$G$37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8.1771778925473562E-2</c:v>
                      </c:pt>
                      <c:pt idx="1">
                        <c:v>3.3483463664028226E-2</c:v>
                      </c:pt>
                      <c:pt idx="2">
                        <c:v>0.12374398228342522</c:v>
                      </c:pt>
                      <c:pt idx="3">
                        <c:v>0.25309640705199732</c:v>
                      </c:pt>
                      <c:pt idx="4">
                        <c:v>0.14205282302704411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4A6-4D3D-AA3B-EA35BDCE281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収益性!$B$38</c15:sqref>
                        </c15:formulaRef>
                      </c:ext>
                    </c:extLst>
                    <c:strCache>
                      <c:ptCount val="1"/>
                      <c:pt idx="0">
                        <c:v>ROA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収益性!$C$34:$G$34</c15:sqref>
                        </c15:formulaRef>
                      </c:ext>
                    </c:extLst>
                    <c:strCache>
                      <c:ptCount val="5"/>
                      <c:pt idx="0">
                        <c:v>ソニー</c:v>
                      </c:pt>
                      <c:pt idx="1">
                        <c:v>パナソニック</c:v>
                      </c:pt>
                      <c:pt idx="2">
                        <c:v>FR</c:v>
                      </c:pt>
                      <c:pt idx="3">
                        <c:v>アップル</c:v>
                      </c:pt>
                      <c:pt idx="4">
                        <c:v>Netflix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収益性!$C$38:$G$38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2.9123376889921004E-2</c:v>
                      </c:pt>
                      <c:pt idx="1">
                        <c:v>3.4810479572808674E-2</c:v>
                      </c:pt>
                      <c:pt idx="2">
                        <c:v>8.9438218057756827E-2</c:v>
                      </c:pt>
                      <c:pt idx="3" formatCode="0%">
                        <c:v>0.28292440929256851</c:v>
                      </c:pt>
                      <c:pt idx="4" formatCode="0%">
                        <c:v>9.2416915320506221E-2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4A6-4D3D-AA3B-EA35BDCE281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収益性!$B$39</c15:sqref>
                        </c15:formulaRef>
                      </c:ext>
                    </c:extLst>
                    <c:strCache>
                      <c:ptCount val="1"/>
                      <c:pt idx="0">
                        <c:v>ROE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収益性!$C$34:$G$34</c15:sqref>
                        </c15:formulaRef>
                      </c:ext>
                    </c:extLst>
                    <c:strCache>
                      <c:ptCount val="5"/>
                      <c:pt idx="0">
                        <c:v>ソニー</c:v>
                      </c:pt>
                      <c:pt idx="1">
                        <c:v>パナソニック</c:v>
                      </c:pt>
                      <c:pt idx="2">
                        <c:v>FR</c:v>
                      </c:pt>
                      <c:pt idx="3">
                        <c:v>アップル</c:v>
                      </c:pt>
                      <c:pt idx="4">
                        <c:v>Netflix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収益性!$C$39:$G$39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0.12947191411136885</c:v>
                      </c:pt>
                      <c:pt idx="1">
                        <c:v>7.402615015786454E-2</c:v>
                      </c:pt>
                      <c:pt idx="2">
                        <c:v>0.17627191250227497</c:v>
                      </c:pt>
                      <c:pt idx="3" formatCode="0%">
                        <c:v>1.9695887275023682</c:v>
                      </c:pt>
                      <c:pt idx="4" formatCode="0%">
                        <c:v>0.21615247629590412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4A6-4D3D-AA3B-EA35BDCE281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収益性!$B$40</c15:sqref>
                        </c15:formulaRef>
                      </c:ext>
                    </c:extLst>
                    <c:strCache>
                      <c:ptCount val="1"/>
                      <c:pt idx="0">
                        <c:v>総資本回転率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収益性!$C$34:$G$34</c15:sqref>
                        </c15:formulaRef>
                      </c:ext>
                    </c:extLst>
                    <c:strCache>
                      <c:ptCount val="5"/>
                      <c:pt idx="0">
                        <c:v>ソニー</c:v>
                      </c:pt>
                      <c:pt idx="1">
                        <c:v>パナソニック</c:v>
                      </c:pt>
                      <c:pt idx="2">
                        <c:v>FR</c:v>
                      </c:pt>
                      <c:pt idx="3">
                        <c:v>アップル</c:v>
                      </c:pt>
                      <c:pt idx="4">
                        <c:v>Netflix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収益性!$C$40:$G$40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0.35615437590594579</c:v>
                      </c:pt>
                      <c:pt idx="1">
                        <c:v>1.0396319784027028</c:v>
                      </c:pt>
                      <c:pt idx="2">
                        <c:v>0.72276822199649349</c:v>
                      </c:pt>
                      <c:pt idx="3" formatCode="0%">
                        <c:v>1.1178523337727317</c:v>
                      </c:pt>
                      <c:pt idx="4" formatCode="0%">
                        <c:v>0.65058133552834652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4A6-4D3D-AA3B-EA35BDCE281F}"/>
                  </c:ext>
                </c:extLst>
              </c15:ser>
            </c15:filteredBarSeries>
          </c:ext>
        </c:extLst>
      </c:barChart>
      <c:catAx>
        <c:axId val="83978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9783344"/>
        <c:crosses val="autoZero"/>
        <c:auto val="1"/>
        <c:lblAlgn val="ctr"/>
        <c:lblOffset val="100"/>
        <c:noMultiLvlLbl val="0"/>
      </c:catAx>
      <c:valAx>
        <c:axId val="839783344"/>
        <c:scaling>
          <c:orientation val="minMax"/>
        </c:scaling>
        <c:delete val="0"/>
        <c:axPos val="l"/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978301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altLang="ja-JP" sz="1600" b="1"/>
              <a:t>FY22 </a:t>
            </a:r>
            <a:r>
              <a:rPr lang="ja-JP" altLang="en-US" sz="1600" b="1"/>
              <a:t>企業別の</a:t>
            </a:r>
            <a:r>
              <a:rPr lang="en-US" altLang="ja-JP" sz="1600" b="1"/>
              <a:t>ROE, ROA</a:t>
            </a:r>
            <a:endParaRPr lang="en-ZA" sz="1600" b="1"/>
          </a:p>
        </c:rich>
      </c:tx>
      <c:layout>
        <c:manualLayout>
          <c:xMode val="edge"/>
          <c:yMode val="edge"/>
          <c:x val="0.30182348569097428"/>
          <c:y val="9.202764825685529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収益性!$B$38</c:f>
              <c:strCache>
                <c:ptCount val="1"/>
                <c:pt idx="0">
                  <c:v>ROA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収益性!$C$34:$G$34</c:f>
              <c:strCache>
                <c:ptCount val="5"/>
                <c:pt idx="0">
                  <c:v>ソニー</c:v>
                </c:pt>
                <c:pt idx="1">
                  <c:v>パナソニック</c:v>
                </c:pt>
                <c:pt idx="2">
                  <c:v>FR</c:v>
                </c:pt>
                <c:pt idx="3">
                  <c:v>アップル</c:v>
                </c:pt>
                <c:pt idx="4">
                  <c:v>Netflix</c:v>
                </c:pt>
              </c:strCache>
              <c:extLst xmlns:c15="http://schemas.microsoft.com/office/drawing/2012/chart"/>
            </c:strRef>
          </c:cat>
          <c:val>
            <c:numRef>
              <c:f>収益性!$C$38:$G$38</c:f>
              <c:numCache>
                <c:formatCode>0.0%</c:formatCode>
                <c:ptCount val="5"/>
                <c:pt idx="0">
                  <c:v>2.9123376889921004E-2</c:v>
                </c:pt>
                <c:pt idx="1">
                  <c:v>3.4810479572808674E-2</c:v>
                </c:pt>
                <c:pt idx="2">
                  <c:v>8.9438218057756827E-2</c:v>
                </c:pt>
                <c:pt idx="3" formatCode="0%">
                  <c:v>0.28292440929256851</c:v>
                </c:pt>
                <c:pt idx="4" formatCode="0%">
                  <c:v>9.2416915320506221E-2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3-5563-4DB0-8A05-5E942518478E}"/>
            </c:ext>
          </c:extLst>
        </c:ser>
        <c:ser>
          <c:idx val="4"/>
          <c:order val="4"/>
          <c:tx>
            <c:strRef>
              <c:f>収益性!$B$39</c:f>
              <c:strCache>
                <c:ptCount val="1"/>
                <c:pt idx="0">
                  <c:v>ROE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収益性!$C$34:$G$34</c:f>
              <c:strCache>
                <c:ptCount val="5"/>
                <c:pt idx="0">
                  <c:v>ソニー</c:v>
                </c:pt>
                <c:pt idx="1">
                  <c:v>パナソニック</c:v>
                </c:pt>
                <c:pt idx="2">
                  <c:v>FR</c:v>
                </c:pt>
                <c:pt idx="3">
                  <c:v>アップル</c:v>
                </c:pt>
                <c:pt idx="4">
                  <c:v>Netflix</c:v>
                </c:pt>
              </c:strCache>
              <c:extLst xmlns:c15="http://schemas.microsoft.com/office/drawing/2012/chart"/>
            </c:strRef>
          </c:cat>
          <c:val>
            <c:numRef>
              <c:f>収益性!$C$39:$G$39</c:f>
              <c:numCache>
                <c:formatCode>0.0%</c:formatCode>
                <c:ptCount val="5"/>
                <c:pt idx="0">
                  <c:v>0.12947191411136885</c:v>
                </c:pt>
                <c:pt idx="1">
                  <c:v>7.402615015786454E-2</c:v>
                </c:pt>
                <c:pt idx="2">
                  <c:v>0.17627191250227497</c:v>
                </c:pt>
                <c:pt idx="3" formatCode="0%">
                  <c:v>1.9695887275023682</c:v>
                </c:pt>
                <c:pt idx="4" formatCode="0%">
                  <c:v>0.21615247629590412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5563-4DB0-8A05-5E9425184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9783016"/>
        <c:axId val="839783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収益性!$B$35</c15:sqref>
                        </c15:formulaRef>
                      </c:ext>
                    </c:extLst>
                    <c:strCache>
                      <c:ptCount val="1"/>
                      <c:pt idx="0">
                        <c:v>売上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収益性!$C$34:$G$34</c15:sqref>
                        </c15:formulaRef>
                      </c:ext>
                    </c:extLst>
                    <c:strCache>
                      <c:ptCount val="5"/>
                      <c:pt idx="0">
                        <c:v>ソニー</c:v>
                      </c:pt>
                      <c:pt idx="1">
                        <c:v>パナソニック</c:v>
                      </c:pt>
                      <c:pt idx="2">
                        <c:v>FR</c:v>
                      </c:pt>
                      <c:pt idx="3">
                        <c:v>アップル</c:v>
                      </c:pt>
                      <c:pt idx="4">
                        <c:v>Netflix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収益性!$C$35:$G$35</c15:sqref>
                        </c15:formulaRef>
                      </c:ext>
                    </c:extLst>
                    <c:numCache>
                      <c:formatCode>_-* #,##0_-;\-* #,##0_-;_-* "-"_-;_-@_-</c:formatCode>
                      <c:ptCount val="5"/>
                      <c:pt idx="0">
                        <c:v>11539837</c:v>
                      </c:pt>
                      <c:pt idx="1">
                        <c:v>8378942</c:v>
                      </c:pt>
                      <c:pt idx="2">
                        <c:v>2301122</c:v>
                      </c:pt>
                      <c:pt idx="3">
                        <c:v>51262640</c:v>
                      </c:pt>
                      <c:pt idx="4">
                        <c:v>4109950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563-4DB0-8A05-5E942518478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収益性!$B$36</c15:sqref>
                        </c15:formulaRef>
                      </c:ext>
                    </c:extLst>
                    <c:strCache>
                      <c:ptCount val="1"/>
                      <c:pt idx="0">
                        <c:v>当期純利益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収益性!$C$34:$G$34</c15:sqref>
                        </c15:formulaRef>
                      </c:ext>
                    </c:extLst>
                    <c:strCache>
                      <c:ptCount val="5"/>
                      <c:pt idx="0">
                        <c:v>ソニー</c:v>
                      </c:pt>
                      <c:pt idx="1">
                        <c:v>パナソニック</c:v>
                      </c:pt>
                      <c:pt idx="2">
                        <c:v>FR</c:v>
                      </c:pt>
                      <c:pt idx="3">
                        <c:v>アップル</c:v>
                      </c:pt>
                      <c:pt idx="4">
                        <c:v>Netflix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収益性!$C$36:$G$36</c15:sqref>
                        </c15:formulaRef>
                      </c:ext>
                    </c:extLst>
                    <c:numCache>
                      <c:formatCode>_-* #,##0_-;\-* #,##0_-;_-* "-"_-;_-@_-</c:formatCode>
                      <c:ptCount val="5"/>
                      <c:pt idx="0">
                        <c:v>943633</c:v>
                      </c:pt>
                      <c:pt idx="1">
                        <c:v>280556</c:v>
                      </c:pt>
                      <c:pt idx="2">
                        <c:v>284750</c:v>
                      </c:pt>
                      <c:pt idx="3">
                        <c:v>12974390</c:v>
                      </c:pt>
                      <c:pt idx="4">
                        <c:v>583830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563-4DB0-8A05-5E942518478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収益性!$B$37</c15:sqref>
                        </c15:formulaRef>
                      </c:ext>
                    </c:extLst>
                    <c:strCache>
                      <c:ptCount val="1"/>
                      <c:pt idx="0">
                        <c:v>当期純利益率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収益性!$C$34:$G$34</c15:sqref>
                        </c15:formulaRef>
                      </c:ext>
                    </c:extLst>
                    <c:strCache>
                      <c:ptCount val="5"/>
                      <c:pt idx="0">
                        <c:v>ソニー</c:v>
                      </c:pt>
                      <c:pt idx="1">
                        <c:v>パナソニック</c:v>
                      </c:pt>
                      <c:pt idx="2">
                        <c:v>FR</c:v>
                      </c:pt>
                      <c:pt idx="3">
                        <c:v>アップル</c:v>
                      </c:pt>
                      <c:pt idx="4">
                        <c:v>Netflix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収益性!$C$37:$G$37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8.1771778925473562E-2</c:v>
                      </c:pt>
                      <c:pt idx="1">
                        <c:v>3.3483463664028226E-2</c:v>
                      </c:pt>
                      <c:pt idx="2">
                        <c:v>0.12374398228342522</c:v>
                      </c:pt>
                      <c:pt idx="3">
                        <c:v>0.25309640705199732</c:v>
                      </c:pt>
                      <c:pt idx="4">
                        <c:v>0.14205282302704411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563-4DB0-8A05-5E942518478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収益性!$B$40</c15:sqref>
                        </c15:formulaRef>
                      </c:ext>
                    </c:extLst>
                    <c:strCache>
                      <c:ptCount val="1"/>
                      <c:pt idx="0">
                        <c:v>総資本回転率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収益性!$C$34:$G$34</c15:sqref>
                        </c15:formulaRef>
                      </c:ext>
                    </c:extLst>
                    <c:strCache>
                      <c:ptCount val="5"/>
                      <c:pt idx="0">
                        <c:v>ソニー</c:v>
                      </c:pt>
                      <c:pt idx="1">
                        <c:v>パナソニック</c:v>
                      </c:pt>
                      <c:pt idx="2">
                        <c:v>FR</c:v>
                      </c:pt>
                      <c:pt idx="3">
                        <c:v>アップル</c:v>
                      </c:pt>
                      <c:pt idx="4">
                        <c:v>Netflix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収益性!$C$40:$G$40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0.35615437590594579</c:v>
                      </c:pt>
                      <c:pt idx="1">
                        <c:v>1.0396319784027028</c:v>
                      </c:pt>
                      <c:pt idx="2">
                        <c:v>0.72276822199649349</c:v>
                      </c:pt>
                      <c:pt idx="3" formatCode="0%">
                        <c:v>1.1178523337727317</c:v>
                      </c:pt>
                      <c:pt idx="4" formatCode="0%">
                        <c:v>0.65058133552834652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563-4DB0-8A05-5E942518478E}"/>
                  </c:ext>
                </c:extLst>
              </c15:ser>
            </c15:filteredBarSeries>
          </c:ext>
        </c:extLst>
      </c:barChart>
      <c:catAx>
        <c:axId val="83978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9783344"/>
        <c:crosses val="autoZero"/>
        <c:auto val="1"/>
        <c:lblAlgn val="ctr"/>
        <c:lblOffset val="100"/>
        <c:noMultiLvlLbl val="0"/>
      </c:catAx>
      <c:valAx>
        <c:axId val="83978334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9783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1"/>
              <a:t>流動比率と当座比率</a:t>
            </a:r>
            <a:endParaRPr lang="en-ZA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69480196924165E-2"/>
          <c:y val="0.26160487907660213"/>
          <c:w val="0.93062816710684426"/>
          <c:h val="0.55287333500963676"/>
        </c:manualLayout>
      </c:layout>
      <c:lineChart>
        <c:grouping val="standard"/>
        <c:varyColors val="0"/>
        <c:ser>
          <c:idx val="0"/>
          <c:order val="0"/>
          <c:tx>
            <c:strRef>
              <c:f>安全性!$B$15</c:f>
              <c:strCache>
                <c:ptCount val="1"/>
                <c:pt idx="0">
                  <c:v> 流動比率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安全性!$C$14:$J$14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安全性!$C$15:$J$15</c:f>
              <c:numCache>
                <c:formatCode>0%</c:formatCode>
                <c:ptCount val="8"/>
                <c:pt idx="0">
                  <c:v>2.7802742845313873</c:v>
                </c:pt>
                <c:pt idx="1">
                  <c:v>2.7706315846119463</c:v>
                </c:pt>
                <c:pt idx="2">
                  <c:v>2.8346299760112061</c:v>
                </c:pt>
                <c:pt idx="3">
                  <c:v>2.7914110873439406</c:v>
                </c:pt>
                <c:pt idx="4">
                  <c:v>2.9596099187189115</c:v>
                </c:pt>
                <c:pt idx="5">
                  <c:v>2.7487618074208129</c:v>
                </c:pt>
                <c:pt idx="6">
                  <c:v>2.7680814826230145</c:v>
                </c:pt>
                <c:pt idx="7">
                  <c:v>2.636978705192516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1-415A-B65B-14D2AEEDAB3B}"/>
            </c:ext>
          </c:extLst>
        </c:ser>
        <c:ser>
          <c:idx val="1"/>
          <c:order val="1"/>
          <c:tx>
            <c:strRef>
              <c:f>安全性!$B$16</c:f>
              <c:strCache>
                <c:ptCount val="1"/>
                <c:pt idx="0">
                  <c:v> 当座比率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安全性!$C$14:$J$14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安全性!$C$16:$J$16</c:f>
              <c:numCache>
                <c:formatCode>0%</c:formatCode>
                <c:ptCount val="8"/>
                <c:pt idx="0">
                  <c:v>2.6388581483206544</c:v>
                </c:pt>
                <c:pt idx="1">
                  <c:v>2.6479071435780304</c:v>
                </c:pt>
                <c:pt idx="2">
                  <c:v>2.7113434454085468</c:v>
                </c:pt>
                <c:pt idx="3">
                  <c:v>2.6839607784118433</c:v>
                </c:pt>
                <c:pt idx="4">
                  <c:v>2.8650703163220945</c:v>
                </c:pt>
                <c:pt idx="5">
                  <c:v>2.6672062833699104</c:v>
                </c:pt>
                <c:pt idx="6">
                  <c:v>2.6683107024423096</c:v>
                </c:pt>
                <c:pt idx="7">
                  <c:v>2.4792762567064592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1-415A-B65B-14D2AEEDA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521416"/>
        <c:axId val="80852371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安全性!$B$17</c15:sqref>
                        </c15:formulaRef>
                      </c:ext>
                    </c:extLst>
                    <c:strCache>
                      <c:ptCount val="1"/>
                      <c:pt idx="0">
                        <c:v> 自己資本比率 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安全性!$C$14:$J$14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安全性!$C$17:$J$17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0.15189979390719643</c:v>
                      </c:pt>
                      <c:pt idx="1">
                        <c:v>0.14462712212312639</c:v>
                      </c:pt>
                      <c:pt idx="2">
                        <c:v>0.15251144424294918</c:v>
                      </c:pt>
                      <c:pt idx="3">
                        <c:v>0.17182477391915385</c:v>
                      </c:pt>
                      <c:pt idx="4">
                        <c:v>0.16896000698765082</c:v>
                      </c:pt>
                      <c:pt idx="5">
                        <c:v>0.16976049942142574</c:v>
                      </c:pt>
                      <c:pt idx="6">
                        <c:v>0.19983379689819922</c:v>
                      </c:pt>
                      <c:pt idx="7">
                        <c:v>0.19272230439999852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6E61-415A-B65B-14D2AEEDAB3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安全性!$B$18</c15:sqref>
                        </c15:formulaRef>
                      </c:ext>
                    </c:extLst>
                    <c:strCache>
                      <c:ptCount val="1"/>
                      <c:pt idx="0">
                        <c:v> 固定比率 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安全性!$C$14:$J$14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安全性!$C$18:$J$18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0.9414103782794192</c:v>
                      </c:pt>
                      <c:pt idx="1">
                        <c:v>0.91091821132849105</c:v>
                      </c:pt>
                      <c:pt idx="2">
                        <c:v>0.76929482333773946</c:v>
                      </c:pt>
                      <c:pt idx="3">
                        <c:v>0.8117700547090565</c:v>
                      </c:pt>
                      <c:pt idx="4">
                        <c:v>0.86495453107660769</c:v>
                      </c:pt>
                      <c:pt idx="5">
                        <c:v>0.78496732886523046</c:v>
                      </c:pt>
                      <c:pt idx="6">
                        <c:v>0.86590834914840376</c:v>
                      </c:pt>
                      <c:pt idx="7">
                        <c:v>1.0281867348890459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E61-415A-B65B-14D2AEEDAB3B}"/>
                  </c:ext>
                </c:extLst>
              </c15:ser>
            </c15:filteredLineSeries>
          </c:ext>
        </c:extLst>
      </c:lineChart>
      <c:catAx>
        <c:axId val="8085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8523712"/>
        <c:crosses val="autoZero"/>
        <c:auto val="1"/>
        <c:lblAlgn val="ctr"/>
        <c:lblOffset val="100"/>
        <c:noMultiLvlLbl val="0"/>
      </c:catAx>
      <c:valAx>
        <c:axId val="808523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852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安全性!$B$17</c:f>
              <c:strCache>
                <c:ptCount val="1"/>
                <c:pt idx="0">
                  <c:v> 自己資本比率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安全性!$C$14:$J$14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安全性!$C$17:$J$17</c:f>
              <c:numCache>
                <c:formatCode>0%</c:formatCode>
                <c:ptCount val="8"/>
                <c:pt idx="0">
                  <c:v>0.15189979390719643</c:v>
                </c:pt>
                <c:pt idx="1">
                  <c:v>0.14462712212312639</c:v>
                </c:pt>
                <c:pt idx="2">
                  <c:v>0.15251144424294918</c:v>
                </c:pt>
                <c:pt idx="3">
                  <c:v>0.17182477391915385</c:v>
                </c:pt>
                <c:pt idx="4">
                  <c:v>0.16896000698765082</c:v>
                </c:pt>
                <c:pt idx="5">
                  <c:v>0.16976049942142574</c:v>
                </c:pt>
                <c:pt idx="6">
                  <c:v>0.19983379689819922</c:v>
                </c:pt>
                <c:pt idx="7">
                  <c:v>0.19272230439999852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24-4E13-97D3-DDABE293A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521416"/>
        <c:axId val="8085237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安全性!$B$15</c15:sqref>
                        </c15:formulaRef>
                      </c:ext>
                    </c:extLst>
                    <c:strCache>
                      <c:ptCount val="1"/>
                      <c:pt idx="0">
                        <c:v> 流動比率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安全性!$C$14:$J$14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安全性!$C$15:$J$15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2.7802742845313873</c:v>
                      </c:pt>
                      <c:pt idx="1">
                        <c:v>2.7706315846119463</c:v>
                      </c:pt>
                      <c:pt idx="2">
                        <c:v>2.8346299760112061</c:v>
                      </c:pt>
                      <c:pt idx="3">
                        <c:v>2.7914110873439406</c:v>
                      </c:pt>
                      <c:pt idx="4">
                        <c:v>2.9596099187189115</c:v>
                      </c:pt>
                      <c:pt idx="5">
                        <c:v>2.7487618074208129</c:v>
                      </c:pt>
                      <c:pt idx="6">
                        <c:v>2.7680814826230145</c:v>
                      </c:pt>
                      <c:pt idx="7">
                        <c:v>2.636978705192516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024-4E13-97D3-DDABE293ABA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安全性!$B$16</c15:sqref>
                        </c15:formulaRef>
                      </c:ext>
                    </c:extLst>
                    <c:strCache>
                      <c:ptCount val="1"/>
                      <c:pt idx="0">
                        <c:v> 当座比率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安全性!$C$14:$J$14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安全性!$C$16:$J$16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2.6388581483206544</c:v>
                      </c:pt>
                      <c:pt idx="1">
                        <c:v>2.6479071435780304</c:v>
                      </c:pt>
                      <c:pt idx="2">
                        <c:v>2.7113434454085468</c:v>
                      </c:pt>
                      <c:pt idx="3">
                        <c:v>2.6839607784118433</c:v>
                      </c:pt>
                      <c:pt idx="4">
                        <c:v>2.8650703163220945</c:v>
                      </c:pt>
                      <c:pt idx="5">
                        <c:v>2.6672062833699104</c:v>
                      </c:pt>
                      <c:pt idx="6">
                        <c:v>2.6683107024423096</c:v>
                      </c:pt>
                      <c:pt idx="7">
                        <c:v>2.4792762567064592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024-4E13-97D3-DDABE293ABA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安全性!$B$18</c15:sqref>
                        </c15:formulaRef>
                      </c:ext>
                    </c:extLst>
                    <c:strCache>
                      <c:ptCount val="1"/>
                      <c:pt idx="0">
                        <c:v> 固定比率 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安全性!$C$14:$J$14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安全性!$C$18:$J$18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0.9414103782794192</c:v>
                      </c:pt>
                      <c:pt idx="1">
                        <c:v>0.91091821132849105</c:v>
                      </c:pt>
                      <c:pt idx="2">
                        <c:v>0.76929482333773946</c:v>
                      </c:pt>
                      <c:pt idx="3">
                        <c:v>0.8117700547090565</c:v>
                      </c:pt>
                      <c:pt idx="4">
                        <c:v>0.86495453107660769</c:v>
                      </c:pt>
                      <c:pt idx="5">
                        <c:v>0.78496732886523046</c:v>
                      </c:pt>
                      <c:pt idx="6">
                        <c:v>0.86590834914840376</c:v>
                      </c:pt>
                      <c:pt idx="7">
                        <c:v>1.0281867348890459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024-4E13-97D3-DDABE293ABA4}"/>
                  </c:ext>
                </c:extLst>
              </c15:ser>
            </c15:filteredLineSeries>
          </c:ext>
        </c:extLst>
      </c:lineChart>
      <c:catAx>
        <c:axId val="8085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8523712"/>
        <c:crosses val="autoZero"/>
        <c:auto val="1"/>
        <c:lblAlgn val="ctr"/>
        <c:lblOffset val="100"/>
        <c:noMultiLvlLbl val="0"/>
      </c:catAx>
      <c:valAx>
        <c:axId val="808523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852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516255</xdr:colOff>
      <xdr:row>3</xdr:row>
      <xdr:rowOff>77152</xdr:rowOff>
    </xdr:from>
    <xdr:to>
      <xdr:col>18</xdr:col>
      <xdr:colOff>581025</xdr:colOff>
      <xdr:row>19</xdr:row>
      <xdr:rowOff>113347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902557-9D5A-57C9-D594-63F8DB6EE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542925</xdr:colOff>
      <xdr:row>20</xdr:row>
      <xdr:rowOff>76200</xdr:rowOff>
    </xdr:from>
    <xdr:to>
      <xdr:col>18</xdr:col>
      <xdr:colOff>236220</xdr:colOff>
      <xdr:row>37</xdr:row>
      <xdr:rowOff>112395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3F939F-33B3-4866-B829-E50D1E068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457200</xdr:colOff>
      <xdr:row>38</xdr:row>
      <xdr:rowOff>152400</xdr:rowOff>
    </xdr:from>
    <xdr:to>
      <xdr:col>18</xdr:col>
      <xdr:colOff>150495</xdr:colOff>
      <xdr:row>60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77AE99-6858-430E-AFAC-243156367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491490</xdr:colOff>
      <xdr:row>60</xdr:row>
      <xdr:rowOff>174306</xdr:rowOff>
    </xdr:from>
    <xdr:to>
      <xdr:col>20</xdr:col>
      <xdr:colOff>152400</xdr:colOff>
      <xdr:row>77</xdr:row>
      <xdr:rowOff>104774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52FDDE2-FEF1-FDEE-99A6-56A11DF78B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573405</xdr:colOff>
      <xdr:row>37</xdr:row>
      <xdr:rowOff>15240</xdr:rowOff>
    </xdr:from>
    <xdr:to>
      <xdr:col>28</xdr:col>
      <xdr:colOff>219075</xdr:colOff>
      <xdr:row>60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E3CDCFC-3E67-F9F2-0BB1-333B6BBB1B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824866</xdr:colOff>
      <xdr:row>43</xdr:row>
      <xdr:rowOff>20001</xdr:rowOff>
    </xdr:from>
    <xdr:to>
      <xdr:col>10</xdr:col>
      <xdr:colOff>539116</xdr:colOff>
      <xdr:row>62</xdr:row>
      <xdr:rowOff>19049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83DB989-79D3-B449-4A48-4DFF36958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396240</xdr:colOff>
      <xdr:row>61</xdr:row>
      <xdr:rowOff>0</xdr:rowOff>
    </xdr:from>
    <xdr:to>
      <xdr:col>7</xdr:col>
      <xdr:colOff>171450</xdr:colOff>
      <xdr:row>80</xdr:row>
      <xdr:rowOff>66675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DACBA72-FA8D-46DE-9041-8C22FEB6D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1</xdr:row>
      <xdr:rowOff>103821</xdr:rowOff>
    </xdr:from>
    <xdr:to>
      <xdr:col>20</xdr:col>
      <xdr:colOff>211455</xdr:colOff>
      <xdr:row>20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EA684F-1A44-1426-B82A-AADC2D214B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180975</xdr:colOff>
      <xdr:row>18</xdr:row>
      <xdr:rowOff>133350</xdr:rowOff>
    </xdr:from>
    <xdr:to>
      <xdr:col>20</xdr:col>
      <xdr:colOff>186690</xdr:colOff>
      <xdr:row>37</xdr:row>
      <xdr:rowOff>162878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13C27B-6A63-4E09-9E21-78CC7BB89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570547</xdr:colOff>
      <xdr:row>43</xdr:row>
      <xdr:rowOff>16191</xdr:rowOff>
    </xdr:from>
    <xdr:to>
      <xdr:col>9</xdr:col>
      <xdr:colOff>228600</xdr:colOff>
      <xdr:row>62</xdr:row>
      <xdr:rowOff>95249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8C02C5D-25FE-D03A-9EEA-349BA82FAF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219075</xdr:colOff>
      <xdr:row>39</xdr:row>
      <xdr:rowOff>0</xdr:rowOff>
    </xdr:from>
    <xdr:to>
      <xdr:col>20</xdr:col>
      <xdr:colOff>230505</xdr:colOff>
      <xdr:row>58</xdr:row>
      <xdr:rowOff>35243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3837045-E2D2-49BF-B9D2-ADC155E4B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561022</xdr:colOff>
      <xdr:row>64</xdr:row>
      <xdr:rowOff>173354</xdr:rowOff>
    </xdr:from>
    <xdr:to>
      <xdr:col>9</xdr:col>
      <xdr:colOff>552450</xdr:colOff>
      <xdr:row>83</xdr:row>
      <xdr:rowOff>66674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A6FBB2C-DA4E-8E82-483D-588970DE3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137159</xdr:colOff>
      <xdr:row>1</xdr:row>
      <xdr:rowOff>28575</xdr:rowOff>
    </xdr:from>
    <xdr:to>
      <xdr:col>28</xdr:col>
      <xdr:colOff>531494</xdr:colOff>
      <xdr:row>23</xdr:row>
      <xdr:rowOff>96203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484D91-D47D-3499-1357-5620590DA7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202882</xdr:colOff>
      <xdr:row>28</xdr:row>
      <xdr:rowOff>88580</xdr:rowOff>
    </xdr:from>
    <xdr:to>
      <xdr:col>22</xdr:col>
      <xdr:colOff>78105</xdr:colOff>
      <xdr:row>49</xdr:row>
      <xdr:rowOff>97154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84A46B-02CB-30CB-E946-A11A32F355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310515</xdr:colOff>
      <xdr:row>6</xdr:row>
      <xdr:rowOff>24765</xdr:rowOff>
    </xdr:from>
    <xdr:to>
      <xdr:col>22</xdr:col>
      <xdr:colOff>200978</xdr:colOff>
      <xdr:row>27</xdr:row>
      <xdr:rowOff>60009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FAAABA-7DDF-4396-90CA-9A31070EF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0.87303</cdr:x>
      <cdr:y>0.7338</cdr:y>
    </cdr:from>
    <cdr:to>
      <cdr:x>0.91361</cdr:x>
      <cdr:y>0.79885</cdr:y>
    </cdr:to>
    <cdr:sp macro="" textlink="">
      <cdr:nvSpPr>
        <cdr:cNvPr id="2" name="Arrow: Up 1">
          <a:extLst xmlns:a="http://schemas.openxmlformats.org/drawingml/2006/main">
            <a:ext uri="{FF2B5EF4-FFF2-40B4-BE49-F238E27FC236}">
              <a16:creationId xmlns:a16="http://schemas.microsoft.com/office/drawing/2014/main" id="{A2C9C827-EF00-AFE9-D86F-F11848A2CBEA}"/>
            </a:ext>
          </a:extLst>
        </cdr:cNvPr>
        <cdr:cNvSpPr/>
      </cdr:nvSpPr>
      <cdr:spPr>
        <a:xfrm xmlns:a="http://schemas.openxmlformats.org/drawingml/2006/main">
          <a:off x="5736908" y="2793685"/>
          <a:ext cx="266700" cy="247650"/>
        </a:xfrm>
        <a:prstGeom xmlns:a="http://schemas.openxmlformats.org/drawingml/2006/main" prst="upArrow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0.90346</cdr:x>
      <cdr:y>0.74131</cdr:y>
    </cdr:from>
    <cdr:to>
      <cdr:x>0.97971</cdr:x>
      <cdr:y>0.79635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52E607D-ACA0-5B4C-FD5E-11FB0D2C3E37}"/>
            </a:ext>
          </a:extLst>
        </cdr:cNvPr>
        <cdr:cNvSpPr txBox="1"/>
      </cdr:nvSpPr>
      <cdr:spPr>
        <a:xfrm xmlns:a="http://schemas.openxmlformats.org/drawingml/2006/main">
          <a:off x="5936932" y="2822260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+135%</a:t>
          </a:r>
        </a:p>
      </cdr:txBody>
    </cdr:sp>
  </cdr:relSizeAnchor>
  <cdr:relSizeAnchor xmlns:cdr="http://schemas.openxmlformats.org/drawingml/2006/chartDrawing">
    <cdr:from>
      <cdr:x>0.87162</cdr:x>
      <cdr:y>0.59878</cdr:y>
    </cdr:from>
    <cdr:to>
      <cdr:x>0.91221</cdr:x>
      <cdr:y>0.66383</cdr:y>
    </cdr:to>
    <cdr:sp macro="" textlink="">
      <cdr:nvSpPr>
        <cdr:cNvPr id="4" name="Arrow: Up 3">
          <a:extLst xmlns:a="http://schemas.openxmlformats.org/drawingml/2006/main">
            <a:ext uri="{FF2B5EF4-FFF2-40B4-BE49-F238E27FC236}">
              <a16:creationId xmlns:a16="http://schemas.microsoft.com/office/drawing/2014/main" id="{3E5DF1A2-88D7-98B6-BC87-26CCE75A7111}"/>
            </a:ext>
          </a:extLst>
        </cdr:cNvPr>
        <cdr:cNvSpPr/>
      </cdr:nvSpPr>
      <cdr:spPr>
        <a:xfrm xmlns:a="http://schemas.openxmlformats.org/drawingml/2006/main">
          <a:off x="5727701" y="2279650"/>
          <a:ext cx="266700" cy="247650"/>
        </a:xfrm>
        <a:prstGeom xmlns:a="http://schemas.openxmlformats.org/drawingml/2006/main" prst="upArrow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0.90496</cdr:x>
      <cdr:y>0.60379</cdr:y>
    </cdr:from>
    <cdr:to>
      <cdr:x>0.9812</cdr:x>
      <cdr:y>0.65883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5114B772-1B70-64AD-0B16-8BAECB3E853E}"/>
            </a:ext>
          </a:extLst>
        </cdr:cNvPr>
        <cdr:cNvSpPr txBox="1"/>
      </cdr:nvSpPr>
      <cdr:spPr>
        <a:xfrm xmlns:a="http://schemas.openxmlformats.org/drawingml/2006/main">
          <a:off x="5946775" y="2298700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+123%</a:t>
          </a:r>
        </a:p>
      </cdr:txBody>
    </cdr:sp>
  </cdr:relSizeAnchor>
  <cdr:relSizeAnchor xmlns:cdr="http://schemas.openxmlformats.org/drawingml/2006/chartDrawing">
    <cdr:from>
      <cdr:x>0.87017</cdr:x>
      <cdr:y>0.53115</cdr:y>
    </cdr:from>
    <cdr:to>
      <cdr:x>0.91076</cdr:x>
      <cdr:y>0.57877</cdr:y>
    </cdr:to>
    <cdr:sp macro="" textlink="">
      <cdr:nvSpPr>
        <cdr:cNvPr id="6" name="Arrow: Up 5">
          <a:extLst xmlns:a="http://schemas.openxmlformats.org/drawingml/2006/main">
            <a:ext uri="{FF2B5EF4-FFF2-40B4-BE49-F238E27FC236}">
              <a16:creationId xmlns:a16="http://schemas.microsoft.com/office/drawing/2014/main" id="{4F0AAF6D-507A-00FA-FF3D-BEC8286136C3}"/>
            </a:ext>
          </a:extLst>
        </cdr:cNvPr>
        <cdr:cNvSpPr/>
      </cdr:nvSpPr>
      <cdr:spPr>
        <a:xfrm xmlns:a="http://schemas.openxmlformats.org/drawingml/2006/main">
          <a:off x="5718175" y="2022160"/>
          <a:ext cx="266700" cy="181290"/>
        </a:xfrm>
        <a:prstGeom xmlns:a="http://schemas.openxmlformats.org/drawingml/2006/main" prst="upArrow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0.90496</cdr:x>
      <cdr:y>0.52373</cdr:y>
    </cdr:from>
    <cdr:to>
      <cdr:x>0.9812</cdr:x>
      <cdr:y>0.57877</cdr:y>
    </cdr:to>
    <cdr:sp macro="" textlink="">
      <cdr:nvSpPr>
        <cdr:cNvPr id="7" name="TextBox 2">
          <a:extLst xmlns:a="http://schemas.openxmlformats.org/drawingml/2006/main">
            <a:ext uri="{FF2B5EF4-FFF2-40B4-BE49-F238E27FC236}">
              <a16:creationId xmlns:a16="http://schemas.microsoft.com/office/drawing/2014/main" id="{97A3C8F7-C794-D453-1919-978E020EC763}"/>
            </a:ext>
          </a:extLst>
        </cdr:cNvPr>
        <cdr:cNvSpPr txBox="1"/>
      </cdr:nvSpPr>
      <cdr:spPr>
        <a:xfrm xmlns:a="http://schemas.openxmlformats.org/drawingml/2006/main">
          <a:off x="5946775" y="1993900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+46%</a:t>
          </a:r>
        </a:p>
      </cdr:txBody>
    </cdr:sp>
  </cdr:relSizeAnchor>
  <cdr:relSizeAnchor xmlns:cdr="http://schemas.openxmlformats.org/drawingml/2006/chartDrawing">
    <cdr:from>
      <cdr:x>0.87667</cdr:x>
      <cdr:y>0.42236</cdr:y>
    </cdr:from>
    <cdr:to>
      <cdr:x>0.90426</cdr:x>
      <cdr:y>0.49241</cdr:y>
    </cdr:to>
    <cdr:sp macro="" textlink="">
      <cdr:nvSpPr>
        <cdr:cNvPr id="8" name="Arrow: Up 7">
          <a:extLst xmlns:a="http://schemas.openxmlformats.org/drawingml/2006/main">
            <a:ext uri="{FF2B5EF4-FFF2-40B4-BE49-F238E27FC236}">
              <a16:creationId xmlns:a16="http://schemas.microsoft.com/office/drawing/2014/main" id="{6256EB6E-085A-F984-6FF5-5F1947BF1E6A}"/>
            </a:ext>
          </a:extLst>
        </cdr:cNvPr>
        <cdr:cNvSpPr/>
      </cdr:nvSpPr>
      <cdr:spPr>
        <a:xfrm xmlns:a="http://schemas.openxmlformats.org/drawingml/2006/main" rot="5400000">
          <a:off x="5718175" y="1650685"/>
          <a:ext cx="266700" cy="181290"/>
        </a:xfrm>
        <a:prstGeom xmlns:a="http://schemas.openxmlformats.org/drawingml/2006/main" prst="upArrow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0.90496</cdr:x>
      <cdr:y>0.42615</cdr:y>
    </cdr:from>
    <cdr:to>
      <cdr:x>0.9812</cdr:x>
      <cdr:y>0.48119</cdr:y>
    </cdr:to>
    <cdr:sp macro="" textlink="">
      <cdr:nvSpPr>
        <cdr:cNvPr id="9" name="TextBox 2">
          <a:extLst xmlns:a="http://schemas.openxmlformats.org/drawingml/2006/main">
            <a:ext uri="{FF2B5EF4-FFF2-40B4-BE49-F238E27FC236}">
              <a16:creationId xmlns:a16="http://schemas.microsoft.com/office/drawing/2014/main" id="{38D9BDC0-7024-28D3-9C9F-EAC11D204139}"/>
            </a:ext>
          </a:extLst>
        </cdr:cNvPr>
        <cdr:cNvSpPr txBox="1"/>
      </cdr:nvSpPr>
      <cdr:spPr>
        <a:xfrm xmlns:a="http://schemas.openxmlformats.org/drawingml/2006/main">
          <a:off x="5946775" y="1622425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ysClr val="windowText" lastClr="000000"/>
              </a:solidFill>
            </a:rPr>
            <a:t>+8%</a:t>
          </a:r>
        </a:p>
      </cdr:txBody>
    </cdr:sp>
  </cdr:relSizeAnchor>
  <cdr:relSizeAnchor xmlns:cdr="http://schemas.openxmlformats.org/drawingml/2006/chartDrawing">
    <cdr:from>
      <cdr:x>0.87017</cdr:x>
      <cdr:y>0.34601</cdr:y>
    </cdr:from>
    <cdr:to>
      <cdr:x>0.91076</cdr:x>
      <cdr:y>0.39113</cdr:y>
    </cdr:to>
    <cdr:sp macro="" textlink="">
      <cdr:nvSpPr>
        <cdr:cNvPr id="10" name="Arrow: Up 9">
          <a:extLst xmlns:a="http://schemas.openxmlformats.org/drawingml/2006/main">
            <a:ext uri="{FF2B5EF4-FFF2-40B4-BE49-F238E27FC236}">
              <a16:creationId xmlns:a16="http://schemas.microsoft.com/office/drawing/2014/main" id="{C3C00E76-DB51-8898-4D72-6D109FC600E2}"/>
            </a:ext>
          </a:extLst>
        </cdr:cNvPr>
        <cdr:cNvSpPr/>
      </cdr:nvSpPr>
      <cdr:spPr>
        <a:xfrm xmlns:a="http://schemas.openxmlformats.org/drawingml/2006/main">
          <a:off x="5718175" y="1317309"/>
          <a:ext cx="266700" cy="171765"/>
        </a:xfrm>
        <a:prstGeom xmlns:a="http://schemas.openxmlformats.org/drawingml/2006/main" prst="upArrow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0.89916</cdr:x>
      <cdr:y>0.33859</cdr:y>
    </cdr:from>
    <cdr:to>
      <cdr:x>0.97541</cdr:x>
      <cdr:y>0.39363</cdr:y>
    </cdr:to>
    <cdr:sp macro="" textlink="">
      <cdr:nvSpPr>
        <cdr:cNvPr id="11" name="TextBox 2">
          <a:extLst xmlns:a="http://schemas.openxmlformats.org/drawingml/2006/main">
            <a:ext uri="{FF2B5EF4-FFF2-40B4-BE49-F238E27FC236}">
              <a16:creationId xmlns:a16="http://schemas.microsoft.com/office/drawing/2014/main" id="{C31509F3-B1B1-74DB-03D0-B23331520EFC}"/>
            </a:ext>
          </a:extLst>
        </cdr:cNvPr>
        <cdr:cNvSpPr txBox="1"/>
      </cdr:nvSpPr>
      <cdr:spPr>
        <a:xfrm xmlns:a="http://schemas.openxmlformats.org/drawingml/2006/main">
          <a:off x="5908675" y="1289050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+105%</a:t>
          </a:r>
        </a:p>
      </cdr:txBody>
    </cdr:sp>
  </cdr:relSizeAnchor>
  <cdr:relSizeAnchor xmlns:cdr="http://schemas.openxmlformats.org/drawingml/2006/chartDrawing">
    <cdr:from>
      <cdr:x>0.87162</cdr:x>
      <cdr:y>0.26345</cdr:y>
    </cdr:from>
    <cdr:to>
      <cdr:x>0.91221</cdr:x>
      <cdr:y>0.31107</cdr:y>
    </cdr:to>
    <cdr:sp macro="" textlink="">
      <cdr:nvSpPr>
        <cdr:cNvPr id="14" name="Arrow: Up 13">
          <a:extLst xmlns:a="http://schemas.openxmlformats.org/drawingml/2006/main">
            <a:ext uri="{FF2B5EF4-FFF2-40B4-BE49-F238E27FC236}">
              <a16:creationId xmlns:a16="http://schemas.microsoft.com/office/drawing/2014/main" id="{B7E6B6CA-BCC6-9D42-10D9-60C925A02BCC}"/>
            </a:ext>
          </a:extLst>
        </cdr:cNvPr>
        <cdr:cNvSpPr/>
      </cdr:nvSpPr>
      <cdr:spPr>
        <a:xfrm xmlns:a="http://schemas.openxmlformats.org/drawingml/2006/main">
          <a:off x="5727700" y="1002985"/>
          <a:ext cx="266700" cy="181290"/>
        </a:xfrm>
        <a:prstGeom xmlns:a="http://schemas.openxmlformats.org/drawingml/2006/main" prst="upArrow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0.90641</cdr:x>
      <cdr:y>0.25603</cdr:y>
    </cdr:from>
    <cdr:to>
      <cdr:x>0.98265</cdr:x>
      <cdr:y>0.31107</cdr:y>
    </cdr:to>
    <cdr:sp macro="" textlink="">
      <cdr:nvSpPr>
        <cdr:cNvPr id="15" name="TextBox 2">
          <a:extLst xmlns:a="http://schemas.openxmlformats.org/drawingml/2006/main">
            <a:ext uri="{FF2B5EF4-FFF2-40B4-BE49-F238E27FC236}">
              <a16:creationId xmlns:a16="http://schemas.microsoft.com/office/drawing/2014/main" id="{A5360BF2-7F60-FA69-431C-111D1BBD70E7}"/>
            </a:ext>
          </a:extLst>
        </cdr:cNvPr>
        <cdr:cNvSpPr txBox="1"/>
      </cdr:nvSpPr>
      <cdr:spPr>
        <a:xfrm xmlns:a="http://schemas.openxmlformats.org/drawingml/2006/main">
          <a:off x="5956300" y="974725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+36%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0.87303</cdr:x>
      <cdr:y>0.50159</cdr:y>
    </cdr:from>
    <cdr:to>
      <cdr:x>0.91361</cdr:x>
      <cdr:y>0.56664</cdr:y>
    </cdr:to>
    <cdr:sp macro="" textlink="">
      <cdr:nvSpPr>
        <cdr:cNvPr id="2" name="Arrow: Up 1">
          <a:extLst xmlns:a="http://schemas.openxmlformats.org/drawingml/2006/main">
            <a:ext uri="{FF2B5EF4-FFF2-40B4-BE49-F238E27FC236}">
              <a16:creationId xmlns:a16="http://schemas.microsoft.com/office/drawing/2014/main" id="{A2C9C827-EF00-AFE9-D86F-F11848A2CBEA}"/>
            </a:ext>
          </a:extLst>
        </cdr:cNvPr>
        <cdr:cNvSpPr/>
      </cdr:nvSpPr>
      <cdr:spPr>
        <a:xfrm xmlns:a="http://schemas.openxmlformats.org/drawingml/2006/main">
          <a:off x="5758561" y="1913449"/>
          <a:ext cx="267668" cy="248150"/>
        </a:xfrm>
        <a:prstGeom xmlns:a="http://schemas.openxmlformats.org/drawingml/2006/main" prst="upArrow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0.9049</cdr:x>
      <cdr:y>0.71634</cdr:y>
    </cdr:from>
    <cdr:to>
      <cdr:x>0.98115</cdr:x>
      <cdr:y>0.77138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52E607D-ACA0-5B4C-FD5E-11FB0D2C3E37}"/>
            </a:ext>
          </a:extLst>
        </cdr:cNvPr>
        <cdr:cNvSpPr txBox="1"/>
      </cdr:nvSpPr>
      <cdr:spPr>
        <a:xfrm xmlns:a="http://schemas.openxmlformats.org/drawingml/2006/main">
          <a:off x="5968804" y="2732673"/>
          <a:ext cx="502950" cy="209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+41%</a:t>
          </a:r>
        </a:p>
      </cdr:txBody>
    </cdr:sp>
  </cdr:relSizeAnchor>
  <cdr:relSizeAnchor xmlns:cdr="http://schemas.openxmlformats.org/drawingml/2006/chartDrawing">
    <cdr:from>
      <cdr:x>0.87162</cdr:x>
      <cdr:y>0.59878</cdr:y>
    </cdr:from>
    <cdr:to>
      <cdr:x>0.91221</cdr:x>
      <cdr:y>0.66383</cdr:y>
    </cdr:to>
    <cdr:sp macro="" textlink="">
      <cdr:nvSpPr>
        <cdr:cNvPr id="4" name="Arrow: Up 3">
          <a:extLst xmlns:a="http://schemas.openxmlformats.org/drawingml/2006/main">
            <a:ext uri="{FF2B5EF4-FFF2-40B4-BE49-F238E27FC236}">
              <a16:creationId xmlns:a16="http://schemas.microsoft.com/office/drawing/2014/main" id="{3E5DF1A2-88D7-98B6-BC87-26CCE75A7111}"/>
            </a:ext>
          </a:extLst>
        </cdr:cNvPr>
        <cdr:cNvSpPr/>
      </cdr:nvSpPr>
      <cdr:spPr>
        <a:xfrm xmlns:a="http://schemas.openxmlformats.org/drawingml/2006/main">
          <a:off x="5727701" y="2279650"/>
          <a:ext cx="266700" cy="247650"/>
        </a:xfrm>
        <a:prstGeom xmlns:a="http://schemas.openxmlformats.org/drawingml/2006/main" prst="upArrow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0.90496</cdr:x>
      <cdr:y>0.60379</cdr:y>
    </cdr:from>
    <cdr:to>
      <cdr:x>0.9812</cdr:x>
      <cdr:y>0.65883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5114B772-1B70-64AD-0B16-8BAECB3E853E}"/>
            </a:ext>
          </a:extLst>
        </cdr:cNvPr>
        <cdr:cNvSpPr txBox="1"/>
      </cdr:nvSpPr>
      <cdr:spPr>
        <a:xfrm xmlns:a="http://schemas.openxmlformats.org/drawingml/2006/main">
          <a:off x="5946775" y="2298700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+106%</a:t>
          </a:r>
        </a:p>
      </cdr:txBody>
    </cdr:sp>
  </cdr:relSizeAnchor>
  <cdr:relSizeAnchor xmlns:cdr="http://schemas.openxmlformats.org/drawingml/2006/chartDrawing">
    <cdr:from>
      <cdr:x>0.87161</cdr:x>
      <cdr:y>0.72341</cdr:y>
    </cdr:from>
    <cdr:to>
      <cdr:x>0.9122</cdr:x>
      <cdr:y>0.77103</cdr:y>
    </cdr:to>
    <cdr:sp macro="" textlink="">
      <cdr:nvSpPr>
        <cdr:cNvPr id="6" name="Arrow: Up 5">
          <a:extLst xmlns:a="http://schemas.openxmlformats.org/drawingml/2006/main">
            <a:ext uri="{FF2B5EF4-FFF2-40B4-BE49-F238E27FC236}">
              <a16:creationId xmlns:a16="http://schemas.microsoft.com/office/drawing/2014/main" id="{4F0AAF6D-507A-00FA-FF3D-BEC8286136C3}"/>
            </a:ext>
          </a:extLst>
        </cdr:cNvPr>
        <cdr:cNvSpPr/>
      </cdr:nvSpPr>
      <cdr:spPr>
        <a:xfrm xmlns:a="http://schemas.openxmlformats.org/drawingml/2006/main">
          <a:off x="5749221" y="2759637"/>
          <a:ext cx="267734" cy="181659"/>
        </a:xfrm>
        <a:prstGeom xmlns:a="http://schemas.openxmlformats.org/drawingml/2006/main" prst="upArrow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0.90496</cdr:x>
      <cdr:y>0.51125</cdr:y>
    </cdr:from>
    <cdr:to>
      <cdr:x>0.9812</cdr:x>
      <cdr:y>0.56629</cdr:y>
    </cdr:to>
    <cdr:sp macro="" textlink="">
      <cdr:nvSpPr>
        <cdr:cNvPr id="7" name="TextBox 2">
          <a:extLst xmlns:a="http://schemas.openxmlformats.org/drawingml/2006/main">
            <a:ext uri="{FF2B5EF4-FFF2-40B4-BE49-F238E27FC236}">
              <a16:creationId xmlns:a16="http://schemas.microsoft.com/office/drawing/2014/main" id="{97A3C8F7-C794-D453-1919-978E020EC763}"/>
            </a:ext>
          </a:extLst>
        </cdr:cNvPr>
        <cdr:cNvSpPr txBox="1"/>
      </cdr:nvSpPr>
      <cdr:spPr>
        <a:xfrm xmlns:a="http://schemas.openxmlformats.org/drawingml/2006/main">
          <a:off x="5969173" y="1950281"/>
          <a:ext cx="502884" cy="209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+190%</a:t>
          </a:r>
        </a:p>
      </cdr:txBody>
    </cdr:sp>
  </cdr:relSizeAnchor>
  <cdr:relSizeAnchor xmlns:cdr="http://schemas.openxmlformats.org/drawingml/2006/chartDrawing">
    <cdr:from>
      <cdr:x>0.87017</cdr:x>
      <cdr:y>0.34601</cdr:y>
    </cdr:from>
    <cdr:to>
      <cdr:x>0.91076</cdr:x>
      <cdr:y>0.39113</cdr:y>
    </cdr:to>
    <cdr:sp macro="" textlink="">
      <cdr:nvSpPr>
        <cdr:cNvPr id="10" name="Arrow: Up 9">
          <a:extLst xmlns:a="http://schemas.openxmlformats.org/drawingml/2006/main">
            <a:ext uri="{FF2B5EF4-FFF2-40B4-BE49-F238E27FC236}">
              <a16:creationId xmlns:a16="http://schemas.microsoft.com/office/drawing/2014/main" id="{C3C00E76-DB51-8898-4D72-6D109FC600E2}"/>
            </a:ext>
          </a:extLst>
        </cdr:cNvPr>
        <cdr:cNvSpPr/>
      </cdr:nvSpPr>
      <cdr:spPr>
        <a:xfrm xmlns:a="http://schemas.openxmlformats.org/drawingml/2006/main">
          <a:off x="5718175" y="1317309"/>
          <a:ext cx="266700" cy="171765"/>
        </a:xfrm>
        <a:prstGeom xmlns:a="http://schemas.openxmlformats.org/drawingml/2006/main" prst="upArrow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0.89916</cdr:x>
      <cdr:y>0.33859</cdr:y>
    </cdr:from>
    <cdr:to>
      <cdr:x>0.97541</cdr:x>
      <cdr:y>0.39363</cdr:y>
    </cdr:to>
    <cdr:sp macro="" textlink="">
      <cdr:nvSpPr>
        <cdr:cNvPr id="11" name="TextBox 2">
          <a:extLst xmlns:a="http://schemas.openxmlformats.org/drawingml/2006/main">
            <a:ext uri="{FF2B5EF4-FFF2-40B4-BE49-F238E27FC236}">
              <a16:creationId xmlns:a16="http://schemas.microsoft.com/office/drawing/2014/main" id="{C31509F3-B1B1-74DB-03D0-B23331520EFC}"/>
            </a:ext>
          </a:extLst>
        </cdr:cNvPr>
        <cdr:cNvSpPr txBox="1"/>
      </cdr:nvSpPr>
      <cdr:spPr>
        <a:xfrm xmlns:a="http://schemas.openxmlformats.org/drawingml/2006/main">
          <a:off x="5908675" y="1289050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+183%</a:t>
          </a:r>
        </a:p>
      </cdr:txBody>
    </cdr:sp>
  </cdr:relSizeAnchor>
  <cdr:relSizeAnchor xmlns:cdr="http://schemas.openxmlformats.org/drawingml/2006/chartDrawing">
    <cdr:from>
      <cdr:x>0.87162</cdr:x>
      <cdr:y>0.26345</cdr:y>
    </cdr:from>
    <cdr:to>
      <cdr:x>0.91221</cdr:x>
      <cdr:y>0.31107</cdr:y>
    </cdr:to>
    <cdr:sp macro="" textlink="">
      <cdr:nvSpPr>
        <cdr:cNvPr id="14" name="Arrow: Up 13">
          <a:extLst xmlns:a="http://schemas.openxmlformats.org/drawingml/2006/main">
            <a:ext uri="{FF2B5EF4-FFF2-40B4-BE49-F238E27FC236}">
              <a16:creationId xmlns:a16="http://schemas.microsoft.com/office/drawing/2014/main" id="{B7E6B6CA-BCC6-9D42-10D9-60C925A02BCC}"/>
            </a:ext>
          </a:extLst>
        </cdr:cNvPr>
        <cdr:cNvSpPr/>
      </cdr:nvSpPr>
      <cdr:spPr>
        <a:xfrm xmlns:a="http://schemas.openxmlformats.org/drawingml/2006/main">
          <a:off x="5727700" y="1002985"/>
          <a:ext cx="266700" cy="181290"/>
        </a:xfrm>
        <a:prstGeom xmlns:a="http://schemas.openxmlformats.org/drawingml/2006/main" prst="upArrow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0.90641</cdr:x>
      <cdr:y>0.25603</cdr:y>
    </cdr:from>
    <cdr:to>
      <cdr:x>0.98265</cdr:x>
      <cdr:y>0.31107</cdr:y>
    </cdr:to>
    <cdr:sp macro="" textlink="">
      <cdr:nvSpPr>
        <cdr:cNvPr id="15" name="TextBox 2">
          <a:extLst xmlns:a="http://schemas.openxmlformats.org/drawingml/2006/main">
            <a:ext uri="{FF2B5EF4-FFF2-40B4-BE49-F238E27FC236}">
              <a16:creationId xmlns:a16="http://schemas.microsoft.com/office/drawing/2014/main" id="{A5360BF2-7F60-FA69-431C-111D1BBD70E7}"/>
            </a:ext>
          </a:extLst>
        </cdr:cNvPr>
        <cdr:cNvSpPr txBox="1"/>
      </cdr:nvSpPr>
      <cdr:spPr>
        <a:xfrm xmlns:a="http://schemas.openxmlformats.org/drawingml/2006/main">
          <a:off x="5956300" y="974725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+25%</a:t>
          </a:r>
        </a:p>
      </cdr:txBody>
    </cdr:sp>
  </cdr:relSizeAnchor>
  <cdr:relSizeAnchor xmlns:cdr="http://schemas.openxmlformats.org/drawingml/2006/chartDrawing">
    <cdr:from>
      <cdr:x>0.8698</cdr:x>
      <cdr:y>0.42031</cdr:y>
    </cdr:from>
    <cdr:to>
      <cdr:x>0.91038</cdr:x>
      <cdr:y>0.48536</cdr:y>
    </cdr:to>
    <cdr:sp macro="" textlink="">
      <cdr:nvSpPr>
        <cdr:cNvPr id="12" name="Arrow: Up 11">
          <a:extLst xmlns:a="http://schemas.openxmlformats.org/drawingml/2006/main">
            <a:ext uri="{FF2B5EF4-FFF2-40B4-BE49-F238E27FC236}">
              <a16:creationId xmlns:a16="http://schemas.microsoft.com/office/drawing/2014/main" id="{2FF9E9B7-78C0-5B6B-50A1-C66CD715B22F}"/>
            </a:ext>
          </a:extLst>
        </cdr:cNvPr>
        <cdr:cNvSpPr/>
      </cdr:nvSpPr>
      <cdr:spPr>
        <a:xfrm xmlns:a="http://schemas.openxmlformats.org/drawingml/2006/main">
          <a:off x="5737225" y="1603375"/>
          <a:ext cx="267668" cy="248150"/>
        </a:xfrm>
        <a:prstGeom xmlns:a="http://schemas.openxmlformats.org/drawingml/2006/main" prst="upArrow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0.90173</cdr:x>
      <cdr:y>0.42996</cdr:y>
    </cdr:from>
    <cdr:to>
      <cdr:x>0.97797</cdr:x>
      <cdr:y>0.485</cdr:y>
    </cdr:to>
    <cdr:sp macro="" textlink="">
      <cdr:nvSpPr>
        <cdr:cNvPr id="13" name="TextBox 2">
          <a:extLst xmlns:a="http://schemas.openxmlformats.org/drawingml/2006/main">
            <a:ext uri="{FF2B5EF4-FFF2-40B4-BE49-F238E27FC236}">
              <a16:creationId xmlns:a16="http://schemas.microsoft.com/office/drawing/2014/main" id="{1C872336-3C30-B073-CC33-8AECD4EC601C}"/>
            </a:ext>
          </a:extLst>
        </cdr:cNvPr>
        <cdr:cNvSpPr txBox="1"/>
      </cdr:nvSpPr>
      <cdr:spPr>
        <a:xfrm xmlns:a="http://schemas.openxmlformats.org/drawingml/2006/main">
          <a:off x="5947837" y="1640207"/>
          <a:ext cx="502884" cy="209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+208%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2</xdr:row>
      <xdr:rowOff>46672</xdr:rowOff>
    </xdr:from>
    <xdr:to>
      <xdr:col>10</xdr:col>
      <xdr:colOff>205510</xdr:colOff>
      <xdr:row>23</xdr:row>
      <xdr:rowOff>11430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9DF0C21-7436-CB1F-5526-6A695339DB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320041</xdr:colOff>
      <xdr:row>2</xdr:row>
      <xdr:rowOff>76200</xdr:rowOff>
    </xdr:from>
    <xdr:to>
      <xdr:col>16</xdr:col>
      <xdr:colOff>323851</xdr:colOff>
      <xdr:row>23</xdr:row>
      <xdr:rowOff>40958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392EA81-3159-4483-AAB8-AC3EEA2A2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581025</xdr:colOff>
      <xdr:row>2</xdr:row>
      <xdr:rowOff>38100</xdr:rowOff>
    </xdr:from>
    <xdr:to>
      <xdr:col>21</xdr:col>
      <xdr:colOff>586740</xdr:colOff>
      <xdr:row>23</xdr:row>
      <xdr:rowOff>953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AA867DF-B2E5-446E-950D-8DBB4E921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23</xdr:row>
      <xdr:rowOff>161925</xdr:rowOff>
    </xdr:from>
    <xdr:to>
      <xdr:col>10</xdr:col>
      <xdr:colOff>95020</xdr:colOff>
      <xdr:row>44</xdr:row>
      <xdr:rowOff>130493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F462093-900B-4551-914E-00AB60460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304800</xdr:colOff>
      <xdr:row>23</xdr:row>
      <xdr:rowOff>142875</xdr:rowOff>
    </xdr:from>
    <xdr:to>
      <xdr:col>15</xdr:col>
      <xdr:colOff>403630</xdr:colOff>
      <xdr:row>44</xdr:row>
      <xdr:rowOff>103823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90C83D5-CC52-47B1-947B-BBBF20740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24</xdr:row>
      <xdr:rowOff>0</xdr:rowOff>
    </xdr:from>
    <xdr:to>
      <xdr:col>21</xdr:col>
      <xdr:colOff>98830</xdr:colOff>
      <xdr:row>44</xdr:row>
      <xdr:rowOff>140018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8149967-BA67-4391-AC8B-013F5C645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A872-7019-431B-BFA4-7D8B1D06375D}">
  <dimension ref="B2:J4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8.75" outlineLevelRow="1" x14ac:dyDescent="0.4"/>
  <cols>
    <col min="2" max="2" width="19" bestFit="1" customWidth="1"/>
    <col min="3" max="4" width="14.5" customWidth="1"/>
    <col min="5" max="10" width="11.25" bestFit="1" customWidth="1"/>
  </cols>
  <sheetData>
    <row r="2" spans="2:10" ht="19.5" x14ac:dyDescent="0.4">
      <c r="B2" s="19"/>
      <c r="C2" s="20" t="s">
        <v>21</v>
      </c>
      <c r="D2" s="20" t="s">
        <v>20</v>
      </c>
      <c r="E2" s="20" t="s">
        <v>5</v>
      </c>
      <c r="F2" s="20" t="s">
        <v>1</v>
      </c>
      <c r="G2" s="20" t="s">
        <v>2</v>
      </c>
      <c r="H2" s="20" t="s">
        <v>3</v>
      </c>
      <c r="I2" s="20" t="s">
        <v>4</v>
      </c>
      <c r="J2" s="20" t="s">
        <v>0</v>
      </c>
    </row>
    <row r="3" spans="2:10" x14ac:dyDescent="0.4">
      <c r="B3" t="s">
        <v>6</v>
      </c>
      <c r="C3">
        <v>8105712</v>
      </c>
      <c r="D3">
        <v>7603250</v>
      </c>
      <c r="E3" s="1">
        <v>8543982</v>
      </c>
      <c r="F3" s="1">
        <v>8665687</v>
      </c>
      <c r="G3" s="1">
        <v>8259885</v>
      </c>
      <c r="H3" s="1">
        <v>8999360</v>
      </c>
      <c r="I3" s="1">
        <v>9921513</v>
      </c>
      <c r="J3" s="1">
        <v>11539837</v>
      </c>
    </row>
    <row r="4" spans="2:10" x14ac:dyDescent="0.4">
      <c r="B4" t="s">
        <v>7</v>
      </c>
      <c r="C4">
        <v>209715</v>
      </c>
      <c r="D4">
        <v>127561</v>
      </c>
      <c r="E4" s="1">
        <v>547279</v>
      </c>
      <c r="F4" s="1">
        <v>966550</v>
      </c>
      <c r="G4" s="1">
        <v>622260</v>
      </c>
      <c r="H4" s="1">
        <v>1191370</v>
      </c>
      <c r="I4" s="1">
        <v>888406</v>
      </c>
      <c r="J4" s="1">
        <v>943633</v>
      </c>
    </row>
    <row r="5" spans="2:10" x14ac:dyDescent="0.4">
      <c r="B5" t="s">
        <v>58</v>
      </c>
      <c r="C5" s="3">
        <f t="shared" ref="C5" si="0">C4/C3</f>
        <v>2.5872495839970627E-2</v>
      </c>
      <c r="D5" s="3">
        <f t="shared" ref="D5" si="1">D4/D3</f>
        <v>1.6777167658567061E-2</v>
      </c>
      <c r="E5" s="3">
        <f t="shared" ref="E5:I5" si="2">E4/E3</f>
        <v>6.4054325020815817E-2</v>
      </c>
      <c r="F5" s="3">
        <f t="shared" si="2"/>
        <v>0.11153760803961647</v>
      </c>
      <c r="G5" s="3">
        <f t="shared" si="2"/>
        <v>7.5335189291376337E-2</v>
      </c>
      <c r="H5" s="3">
        <f t="shared" si="2"/>
        <v>0.132383858407709</v>
      </c>
      <c r="I5" s="3">
        <f t="shared" si="2"/>
        <v>8.954339927791255E-2</v>
      </c>
      <c r="J5" s="3">
        <f>J4/J3</f>
        <v>8.1771778925473562E-2</v>
      </c>
    </row>
    <row r="6" spans="2:10" x14ac:dyDescent="0.4">
      <c r="B6" t="s">
        <v>8</v>
      </c>
      <c r="C6" s="1">
        <v>16673390</v>
      </c>
      <c r="D6" s="1">
        <v>17660556</v>
      </c>
      <c r="E6" s="1">
        <v>19065538</v>
      </c>
      <c r="F6" s="1">
        <v>20981586</v>
      </c>
      <c r="G6" s="1">
        <v>23039343</v>
      </c>
      <c r="H6" s="1">
        <v>26354840</v>
      </c>
      <c r="I6" s="1">
        <v>30480967</v>
      </c>
      <c r="J6" s="1">
        <v>32401222</v>
      </c>
    </row>
    <row r="7" spans="2:10" x14ac:dyDescent="0.4">
      <c r="B7" t="s">
        <v>9</v>
      </c>
      <c r="C7" s="1">
        <v>3124410</v>
      </c>
      <c r="D7" s="1">
        <v>3135422</v>
      </c>
      <c r="E7" s="1">
        <v>3647157</v>
      </c>
      <c r="F7" s="1">
        <v>4436690</v>
      </c>
      <c r="G7" s="1">
        <f>4125306+664229</f>
        <v>4789535</v>
      </c>
      <c r="H7" s="1">
        <f>5575839+45637</f>
        <v>5621476</v>
      </c>
      <c r="I7" s="1">
        <v>7197249</v>
      </c>
      <c r="J7" s="1">
        <v>7288322</v>
      </c>
    </row>
    <row r="8" spans="2:10" x14ac:dyDescent="0.4">
      <c r="C8" s="1"/>
      <c r="D8" s="1"/>
      <c r="E8" s="1"/>
      <c r="F8" s="1"/>
      <c r="G8" s="1"/>
      <c r="H8" s="1"/>
      <c r="I8" s="1"/>
      <c r="J8" s="1"/>
    </row>
    <row r="9" spans="2:10" ht="19.5" x14ac:dyDescent="0.4">
      <c r="B9" s="19"/>
      <c r="C9" s="20" t="s">
        <v>21</v>
      </c>
      <c r="D9" s="20" t="s">
        <v>20</v>
      </c>
      <c r="E9" s="20" t="s">
        <v>5</v>
      </c>
      <c r="F9" s="20" t="s">
        <v>1</v>
      </c>
      <c r="G9" s="20" t="s">
        <v>2</v>
      </c>
      <c r="H9" s="20" t="s">
        <v>3</v>
      </c>
      <c r="I9" s="20" t="s">
        <v>4</v>
      </c>
      <c r="J9" s="20" t="s">
        <v>0</v>
      </c>
    </row>
    <row r="10" spans="2:10" x14ac:dyDescent="0.4">
      <c r="B10" t="s">
        <v>10</v>
      </c>
      <c r="C10" s="3">
        <f t="shared" ref="C10:D10" si="3">C4/C7</f>
        <v>6.7121472534014417E-2</v>
      </c>
      <c r="D10" s="3">
        <f t="shared" si="3"/>
        <v>4.0683837773671294E-2</v>
      </c>
      <c r="E10" s="3">
        <f>E4/E7</f>
        <v>0.15005633154810719</v>
      </c>
      <c r="F10" s="3">
        <f t="shared" ref="F10:J10" si="4">F4/F7</f>
        <v>0.21785385050566977</v>
      </c>
      <c r="G10" s="3">
        <f>G4/G7</f>
        <v>0.12992075431122227</v>
      </c>
      <c r="H10" s="3">
        <f t="shared" si="4"/>
        <v>0.21193188408168959</v>
      </c>
      <c r="I10" s="3">
        <f t="shared" si="4"/>
        <v>0.1234368853988517</v>
      </c>
      <c r="J10" s="3">
        <f t="shared" si="4"/>
        <v>0.12947191411136885</v>
      </c>
    </row>
    <row r="11" spans="2:10" x14ac:dyDescent="0.4">
      <c r="B11" t="s">
        <v>11</v>
      </c>
      <c r="C11" s="3">
        <f t="shared" ref="C11:D11" si="5">C4/C6</f>
        <v>1.2577826104949263E-2</v>
      </c>
      <c r="D11" s="3">
        <f t="shared" si="5"/>
        <v>7.2229322791422879E-3</v>
      </c>
      <c r="E11" s="3">
        <f>E4/E6</f>
        <v>2.8705143279985069E-2</v>
      </c>
      <c r="F11" s="3">
        <f t="shared" ref="F11:J11" si="6">F4/F6</f>
        <v>4.6066584289671905E-2</v>
      </c>
      <c r="G11" s="3">
        <f>G4/G6</f>
        <v>2.7008582666615103E-2</v>
      </c>
      <c r="H11" s="3">
        <f t="shared" si="6"/>
        <v>4.520497942692879E-2</v>
      </c>
      <c r="I11" s="3">
        <f t="shared" si="6"/>
        <v>2.9146253791751422E-2</v>
      </c>
      <c r="J11" s="3">
        <f t="shared" si="6"/>
        <v>2.9123376889921004E-2</v>
      </c>
    </row>
    <row r="12" spans="2:10" x14ac:dyDescent="0.4">
      <c r="B12" t="s">
        <v>12</v>
      </c>
      <c r="C12" s="3">
        <f t="shared" ref="C12:D12" si="7">C3/C6</f>
        <v>0.486146608458148</v>
      </c>
      <c r="D12" s="3">
        <f t="shared" si="7"/>
        <v>0.430521553228562</v>
      </c>
      <c r="E12" s="3">
        <f>E3/E6</f>
        <v>0.44813747191398429</v>
      </c>
      <c r="F12" s="3">
        <f t="shared" ref="F12:J12" si="8">F3/F6</f>
        <v>0.4130139161071999</v>
      </c>
      <c r="G12" s="3">
        <f>G3/G6</f>
        <v>0.35851217632377796</v>
      </c>
      <c r="H12" s="3">
        <f t="shared" si="8"/>
        <v>0.34146896736994042</v>
      </c>
      <c r="I12" s="3">
        <f t="shared" si="8"/>
        <v>0.32549863001393625</v>
      </c>
      <c r="J12" s="3">
        <f t="shared" si="8"/>
        <v>0.35615437590594579</v>
      </c>
    </row>
    <row r="14" spans="2:10" x14ac:dyDescent="0.4">
      <c r="B14" t="s">
        <v>13</v>
      </c>
      <c r="C14" s="1">
        <v>1073069</v>
      </c>
      <c r="D14" s="1">
        <v>1087504</v>
      </c>
      <c r="E14" s="1">
        <v>1228377</v>
      </c>
      <c r="F14" s="1">
        <v>1282539</v>
      </c>
      <c r="G14" s="1">
        <v>1307748</v>
      </c>
      <c r="H14" s="1">
        <v>1668921</v>
      </c>
      <c r="I14" s="1">
        <v>1533829</v>
      </c>
      <c r="J14" s="1">
        <v>1454546</v>
      </c>
    </row>
    <row r="15" spans="2:10" x14ac:dyDescent="0.4">
      <c r="B15" t="s">
        <v>14</v>
      </c>
      <c r="C15" s="1">
        <v>118802</v>
      </c>
      <c r="D15" s="1">
        <v>118713</v>
      </c>
      <c r="E15" s="1">
        <v>126921</v>
      </c>
      <c r="F15" s="1">
        <v>116406</v>
      </c>
      <c r="G15" s="1">
        <v>92783</v>
      </c>
      <c r="H15" s="1">
        <v>116735</v>
      </c>
      <c r="I15" s="1">
        <v>104216</v>
      </c>
      <c r="J15" s="1">
        <v>159698</v>
      </c>
    </row>
    <row r="16" spans="2:10" x14ac:dyDescent="0.4">
      <c r="B16" t="s">
        <v>17</v>
      </c>
      <c r="C16" s="3">
        <f t="shared" ref="C16:E16" si="9">C15/C14</f>
        <v>0.11071235866472706</v>
      </c>
      <c r="D16" s="3">
        <f t="shared" si="9"/>
        <v>0.10916097779870235</v>
      </c>
      <c r="E16" s="3">
        <f t="shared" si="9"/>
        <v>0.10332414234392211</v>
      </c>
      <c r="F16" s="3">
        <f t="shared" ref="F16" si="10">F15/F14</f>
        <v>9.0762152262036475E-2</v>
      </c>
      <c r="G16" s="3">
        <f t="shared" ref="G16:H16" si="11">G15/G14</f>
        <v>7.0948684303092036E-2</v>
      </c>
      <c r="H16" s="3">
        <f t="shared" si="11"/>
        <v>6.9946390512193202E-2</v>
      </c>
      <c r="I16" s="3">
        <f>I15/I14</f>
        <v>6.7944992564360179E-2</v>
      </c>
      <c r="J16" s="3">
        <f>J15/J14</f>
        <v>0.10979233382787482</v>
      </c>
    </row>
    <row r="17" spans="2:10" x14ac:dyDescent="0.4">
      <c r="B17" t="s">
        <v>18</v>
      </c>
      <c r="C17" s="3">
        <f>C15/C4</f>
        <v>0.56649262093793962</v>
      </c>
      <c r="D17" s="3">
        <f>D15/D4</f>
        <v>0.93063710695275204</v>
      </c>
      <c r="E17" s="3">
        <f>E15/E4</f>
        <v>0.23191279036834961</v>
      </c>
      <c r="F17" s="3">
        <f t="shared" ref="F17:J17" si="12">F15/F4</f>
        <v>0.12043453520252444</v>
      </c>
      <c r="G17" s="3">
        <f t="shared" si="12"/>
        <v>0.14910648282068589</v>
      </c>
      <c r="H17" s="3">
        <f t="shared" si="12"/>
        <v>9.7983833737629783E-2</v>
      </c>
      <c r="I17" s="3">
        <f t="shared" si="12"/>
        <v>0.11730672687937722</v>
      </c>
      <c r="J17" s="3">
        <f t="shared" si="12"/>
        <v>0.16923740479614427</v>
      </c>
    </row>
    <row r="18" spans="2:10" x14ac:dyDescent="0.4">
      <c r="B18" t="s">
        <v>19</v>
      </c>
      <c r="C18" s="3">
        <f>C14/C3</f>
        <v>0.1323842988746701</v>
      </c>
      <c r="D18" s="3">
        <f>D14/D3</f>
        <v>0.14303146680695755</v>
      </c>
      <c r="E18" s="3">
        <f>E14/E3</f>
        <v>0.14377101918051793</v>
      </c>
      <c r="F18" s="3">
        <f t="shared" ref="F18:J18" si="13">F14/F3</f>
        <v>0.14800199914905765</v>
      </c>
      <c r="G18" s="3">
        <f t="shared" si="13"/>
        <v>0.15832520670687303</v>
      </c>
      <c r="H18" s="3">
        <f t="shared" si="13"/>
        <v>0.18544885414073889</v>
      </c>
      <c r="I18" s="3">
        <f t="shared" si="13"/>
        <v>0.15459627982143448</v>
      </c>
      <c r="J18" s="3">
        <f t="shared" si="13"/>
        <v>0.12604562785418894</v>
      </c>
    </row>
    <row r="20" spans="2:10" x14ac:dyDescent="0.4">
      <c r="B20" t="s">
        <v>15</v>
      </c>
      <c r="C20" s="1">
        <v>10915529</v>
      </c>
      <c r="D20" s="1">
        <v>12063875</v>
      </c>
      <c r="E20" s="1">
        <v>13030529</v>
      </c>
      <c r="F20" s="1">
        <v>14152681</v>
      </c>
      <c r="G20" s="1">
        <v>15908748</v>
      </c>
      <c r="H20" s="1">
        <v>18092937</v>
      </c>
      <c r="I20" s="1">
        <v>20974027</v>
      </c>
      <c r="J20" s="1">
        <v>20805535</v>
      </c>
    </row>
    <row r="21" spans="2:10" x14ac:dyDescent="0.4">
      <c r="B21" t="s">
        <v>16</v>
      </c>
      <c r="C21" s="1">
        <v>1386836</v>
      </c>
      <c r="D21" s="1">
        <v>1451057</v>
      </c>
      <c r="E21" s="1">
        <v>1558725</v>
      </c>
      <c r="F21" s="1">
        <v>1697295</v>
      </c>
      <c r="G21" s="1">
        <v>1792538</v>
      </c>
      <c r="H21" s="1">
        <v>1771230</v>
      </c>
      <c r="I21" s="1">
        <v>2581153</v>
      </c>
      <c r="J21" s="1">
        <v>1814987</v>
      </c>
    </row>
    <row r="23" spans="2:10" ht="19.5" x14ac:dyDescent="0.4">
      <c r="B23" s="19"/>
      <c r="C23" s="20" t="s">
        <v>21</v>
      </c>
      <c r="D23" s="20" t="s">
        <v>20</v>
      </c>
      <c r="E23" s="20" t="s">
        <v>5</v>
      </c>
      <c r="F23" s="20" t="s">
        <v>1</v>
      </c>
      <c r="G23" s="20" t="s">
        <v>2</v>
      </c>
      <c r="H23" s="20" t="s">
        <v>3</v>
      </c>
      <c r="I23" s="20" t="s">
        <v>4</v>
      </c>
      <c r="J23" s="20" t="s">
        <v>0</v>
      </c>
    </row>
    <row r="24" spans="2:10" x14ac:dyDescent="0.4">
      <c r="B24" t="s">
        <v>22</v>
      </c>
      <c r="C24" s="5">
        <f>C6</f>
        <v>16673390</v>
      </c>
      <c r="D24" s="5">
        <f t="shared" ref="D24:J24" si="14">D6</f>
        <v>17660556</v>
      </c>
      <c r="E24" s="5">
        <f t="shared" si="14"/>
        <v>19065538</v>
      </c>
      <c r="F24" s="5">
        <f t="shared" si="14"/>
        <v>20981586</v>
      </c>
      <c r="G24" s="5">
        <f t="shared" si="14"/>
        <v>23039343</v>
      </c>
      <c r="H24" s="5">
        <f t="shared" si="14"/>
        <v>26354840</v>
      </c>
      <c r="I24" s="5">
        <f t="shared" si="14"/>
        <v>30480967</v>
      </c>
      <c r="J24" s="5">
        <f t="shared" si="14"/>
        <v>32401222</v>
      </c>
    </row>
    <row r="25" spans="2:10" x14ac:dyDescent="0.4">
      <c r="B25" t="s">
        <v>15</v>
      </c>
      <c r="C25" s="5">
        <f>C20</f>
        <v>10915529</v>
      </c>
      <c r="D25" s="5">
        <f t="shared" ref="D25:J25" si="15">D20</f>
        <v>12063875</v>
      </c>
      <c r="E25" s="5">
        <f t="shared" si="15"/>
        <v>13030529</v>
      </c>
      <c r="F25" s="5">
        <f t="shared" si="15"/>
        <v>14152681</v>
      </c>
      <c r="G25" s="5">
        <f t="shared" si="15"/>
        <v>15908748</v>
      </c>
      <c r="H25" s="5">
        <f t="shared" si="15"/>
        <v>18092937</v>
      </c>
      <c r="I25" s="5">
        <f t="shared" si="15"/>
        <v>20974027</v>
      </c>
      <c r="J25" s="5">
        <f t="shared" si="15"/>
        <v>20805535</v>
      </c>
    </row>
    <row r="26" spans="2:10" x14ac:dyDescent="0.4">
      <c r="C26" s="2">
        <f>C25/C24</f>
        <v>0.65466764707117153</v>
      </c>
      <c r="D26" s="2">
        <f t="shared" ref="D26:J26" si="16">D25/D24</f>
        <v>0.68309712332952599</v>
      </c>
      <c r="E26" s="2">
        <f t="shared" si="16"/>
        <v>0.68345981110000675</v>
      </c>
      <c r="F26" s="2">
        <f t="shared" si="16"/>
        <v>0.67452865574604326</v>
      </c>
      <c r="G26" s="2">
        <f t="shared" si="16"/>
        <v>0.69050354430679728</v>
      </c>
      <c r="H26" s="2">
        <f t="shared" si="16"/>
        <v>0.6865128758133231</v>
      </c>
      <c r="I26" s="2">
        <f t="shared" si="16"/>
        <v>0.68810241486105084</v>
      </c>
      <c r="J26" s="2">
        <f t="shared" si="16"/>
        <v>0.64212192367312571</v>
      </c>
    </row>
    <row r="28" spans="2:10" ht="19.5" x14ac:dyDescent="0.4">
      <c r="B28" s="19"/>
      <c r="C28" s="20" t="s">
        <v>21</v>
      </c>
      <c r="D28" s="20" t="s">
        <v>20</v>
      </c>
      <c r="E28" s="20" t="s">
        <v>5</v>
      </c>
      <c r="F28" s="20" t="s">
        <v>1</v>
      </c>
      <c r="G28" s="20" t="s">
        <v>2</v>
      </c>
      <c r="H28" s="20" t="s">
        <v>3</v>
      </c>
      <c r="I28" s="20" t="s">
        <v>4</v>
      </c>
      <c r="J28" s="20" t="s">
        <v>0</v>
      </c>
    </row>
    <row r="29" spans="2:10" x14ac:dyDescent="0.4">
      <c r="B29" t="s">
        <v>17</v>
      </c>
      <c r="C29" s="5">
        <f>C4-C30</f>
        <v>90913</v>
      </c>
      <c r="D29" s="5">
        <f t="shared" ref="D29:J29" si="17">D4-D30</f>
        <v>8848</v>
      </c>
      <c r="E29" s="5">
        <f t="shared" si="17"/>
        <v>420358</v>
      </c>
      <c r="F29" s="5">
        <f t="shared" si="17"/>
        <v>850144</v>
      </c>
      <c r="G29" s="5">
        <f t="shared" si="17"/>
        <v>529477</v>
      </c>
      <c r="H29" s="5">
        <f t="shared" si="17"/>
        <v>1074635</v>
      </c>
      <c r="I29" s="5">
        <f t="shared" si="17"/>
        <v>784190</v>
      </c>
      <c r="J29" s="5">
        <f t="shared" si="17"/>
        <v>783935</v>
      </c>
    </row>
    <row r="30" spans="2:10" x14ac:dyDescent="0.4">
      <c r="B30" t="s">
        <v>23</v>
      </c>
      <c r="C30" s="5">
        <f>C15</f>
        <v>118802</v>
      </c>
      <c r="D30" s="5">
        <f t="shared" ref="D30:J30" si="18">D15</f>
        <v>118713</v>
      </c>
      <c r="E30" s="5">
        <f t="shared" si="18"/>
        <v>126921</v>
      </c>
      <c r="F30" s="5">
        <f t="shared" si="18"/>
        <v>116406</v>
      </c>
      <c r="G30" s="5">
        <f t="shared" si="18"/>
        <v>92783</v>
      </c>
      <c r="H30" s="5">
        <f t="shared" si="18"/>
        <v>116735</v>
      </c>
      <c r="I30" s="5">
        <f t="shared" si="18"/>
        <v>104216</v>
      </c>
      <c r="J30" s="5">
        <f t="shared" si="18"/>
        <v>159698</v>
      </c>
    </row>
    <row r="33" spans="2:8" x14ac:dyDescent="0.4">
      <c r="B33" s="13" t="s">
        <v>49</v>
      </c>
      <c r="F33" t="s">
        <v>57</v>
      </c>
    </row>
    <row r="34" spans="2:8" x14ac:dyDescent="0.4">
      <c r="C34" s="4" t="s">
        <v>50</v>
      </c>
      <c r="D34" s="4" t="s">
        <v>51</v>
      </c>
      <c r="E34" s="4" t="s">
        <v>56</v>
      </c>
      <c r="F34" s="4" t="s">
        <v>53</v>
      </c>
      <c r="G34" s="4" t="s">
        <v>52</v>
      </c>
    </row>
    <row r="35" spans="2:8" outlineLevel="1" x14ac:dyDescent="0.4">
      <c r="B35" s="10" t="s">
        <v>6</v>
      </c>
      <c r="C35" s="12">
        <f>J3</f>
        <v>11539837</v>
      </c>
      <c r="D35" s="6">
        <v>8378942</v>
      </c>
      <c r="E35" s="6">
        <v>2301122</v>
      </c>
      <c r="F35" s="6">
        <f>394328*130</f>
        <v>51262640</v>
      </c>
      <c r="G35" s="6">
        <f>31615*130</f>
        <v>4109950</v>
      </c>
    </row>
    <row r="36" spans="2:8" outlineLevel="1" x14ac:dyDescent="0.4">
      <c r="B36" s="10" t="s">
        <v>55</v>
      </c>
      <c r="C36" s="12">
        <f>J4</f>
        <v>943633</v>
      </c>
      <c r="D36" s="6">
        <v>280556</v>
      </c>
      <c r="E36" s="6">
        <v>284750</v>
      </c>
      <c r="F36" s="6">
        <f>99803*130</f>
        <v>12974390</v>
      </c>
      <c r="G36" s="6">
        <f>4491*130</f>
        <v>583830</v>
      </c>
    </row>
    <row r="37" spans="2:8" x14ac:dyDescent="0.4">
      <c r="B37" s="14" t="s">
        <v>17</v>
      </c>
      <c r="C37" s="11">
        <f>C36/C35</f>
        <v>8.1771778925473562E-2</v>
      </c>
      <c r="D37" s="11">
        <f t="shared" ref="D37:G37" si="19">D36/D35</f>
        <v>3.3483463664028226E-2</v>
      </c>
      <c r="E37" s="11">
        <f t="shared" si="19"/>
        <v>0.12374398228342522</v>
      </c>
      <c r="F37" s="11">
        <f t="shared" si="19"/>
        <v>0.25309640705199732</v>
      </c>
      <c r="G37" s="11">
        <f t="shared" si="19"/>
        <v>0.14205282302704411</v>
      </c>
    </row>
    <row r="38" spans="2:8" x14ac:dyDescent="0.4">
      <c r="B38" t="s">
        <v>11</v>
      </c>
      <c r="C38" s="15">
        <f>J11</f>
        <v>2.9123376889921004E-2</v>
      </c>
      <c r="D38" s="16">
        <f>D$36/安全性!D31</f>
        <v>3.4810479572808674E-2</v>
      </c>
      <c r="E38" s="16">
        <f>E$36/安全性!E31</f>
        <v>8.9438218057756827E-2</v>
      </c>
      <c r="F38" s="17">
        <f>F$36/安全性!F31</f>
        <v>0.28292440929256851</v>
      </c>
      <c r="G38" s="17">
        <f>G$36/安全性!G31</f>
        <v>9.2416915320506221E-2</v>
      </c>
    </row>
    <row r="39" spans="2:8" x14ac:dyDescent="0.4">
      <c r="B39" t="s">
        <v>10</v>
      </c>
      <c r="C39" s="15">
        <f>J10</f>
        <v>0.12947191411136885</v>
      </c>
      <c r="D39" s="16">
        <f>D$36/安全性!D30</f>
        <v>7.402615015786454E-2</v>
      </c>
      <c r="E39" s="16">
        <f>E$36/安全性!E30</f>
        <v>0.17627191250227497</v>
      </c>
      <c r="F39" s="17">
        <f>F$36/安全性!F30</f>
        <v>1.9695887275023682</v>
      </c>
      <c r="G39" s="17">
        <f>G$36/安全性!G30</f>
        <v>0.21615247629590412</v>
      </c>
    </row>
    <row r="40" spans="2:8" x14ac:dyDescent="0.4">
      <c r="B40" t="s">
        <v>12</v>
      </c>
      <c r="C40" s="15">
        <f>J12</f>
        <v>0.35615437590594579</v>
      </c>
      <c r="D40" s="16">
        <f>D35/安全性!D31</f>
        <v>1.0396319784027028</v>
      </c>
      <c r="E40" s="16">
        <f>E35/安全性!E31</f>
        <v>0.72276822199649349</v>
      </c>
      <c r="F40" s="17">
        <f>F35/安全性!F31</f>
        <v>1.1178523337727317</v>
      </c>
      <c r="G40" s="17">
        <f>G35/安全性!G31</f>
        <v>0.65058133552834652</v>
      </c>
    </row>
    <row r="42" spans="2:8" x14ac:dyDescent="0.4">
      <c r="H42" s="4"/>
    </row>
    <row r="43" spans="2:8" x14ac:dyDescent="0.4">
      <c r="H43" s="4"/>
    </row>
    <row r="44" spans="2:8" x14ac:dyDescent="0.4">
      <c r="H44" s="4"/>
    </row>
    <row r="45" spans="2:8" x14ac:dyDescent="0.4">
      <c r="H45" s="4"/>
    </row>
    <row r="46" spans="2:8" x14ac:dyDescent="0.4">
      <c r="H46" s="4"/>
    </row>
    <row r="47" spans="2:8" x14ac:dyDescent="0.4">
      <c r="H47" s="4"/>
    </row>
    <row r="48" spans="2:8" x14ac:dyDescent="0.4">
      <c r="H48" s="4"/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4B884-492B-4C4F-B322-C581BBF0E7A7}">
  <dimension ref="B4:J78"/>
  <sheetViews>
    <sheetView workbookViewId="0">
      <selection activeCell="B20" sqref="B20:J20"/>
    </sheetView>
  </sheetViews>
  <sheetFormatPr defaultColWidth="8.875" defaultRowHeight="18.75" outlineLevelRow="1" x14ac:dyDescent="0.4"/>
  <cols>
    <col min="1" max="1" width="8.875" style="1"/>
    <col min="2" max="2" width="15.75" style="1" bestFit="1" customWidth="1"/>
    <col min="3" max="3" width="11.25" style="1" bestFit="1" customWidth="1"/>
    <col min="4" max="4" width="14.5" style="1" bestFit="1" customWidth="1"/>
    <col min="5" max="10" width="11.25" style="1" bestFit="1" customWidth="1"/>
    <col min="11" max="16384" width="8.875" style="1"/>
  </cols>
  <sheetData>
    <row r="4" spans="2:10" ht="19.5" x14ac:dyDescent="0.4">
      <c r="B4" s="19"/>
      <c r="C4" s="20" t="s">
        <v>21</v>
      </c>
      <c r="D4" s="20" t="s">
        <v>20</v>
      </c>
      <c r="E4" s="20" t="s">
        <v>5</v>
      </c>
      <c r="F4" s="20" t="s">
        <v>1</v>
      </c>
      <c r="G4" s="20" t="s">
        <v>2</v>
      </c>
      <c r="H4" s="20" t="s">
        <v>3</v>
      </c>
      <c r="I4" s="20" t="s">
        <v>4</v>
      </c>
      <c r="J4" s="20" t="s">
        <v>0</v>
      </c>
    </row>
    <row r="5" spans="2:10" x14ac:dyDescent="0.4">
      <c r="B5" s="1" t="s">
        <v>33</v>
      </c>
      <c r="C5" s="6">
        <v>683146</v>
      </c>
      <c r="D5" s="6">
        <v>640835</v>
      </c>
      <c r="E5" s="6">
        <v>692937</v>
      </c>
      <c r="F5" s="6">
        <v>653278</v>
      </c>
      <c r="G5" s="6">
        <v>589969</v>
      </c>
      <c r="H5" s="6">
        <v>637391</v>
      </c>
      <c r="I5" s="6">
        <v>874007</v>
      </c>
      <c r="J5" s="6">
        <v>1468042</v>
      </c>
    </row>
    <row r="6" spans="2:10" x14ac:dyDescent="0.4">
      <c r="B6" s="1" t="s">
        <v>27</v>
      </c>
      <c r="C6" s="6">
        <f>C7-C5</f>
        <v>12747664</v>
      </c>
      <c r="D6" s="6">
        <f t="shared" ref="D6:J6" si="0">D7-D5</f>
        <v>13826680</v>
      </c>
      <c r="E6" s="6">
        <f t="shared" si="0"/>
        <v>15239217</v>
      </c>
      <c r="F6" s="6">
        <f t="shared" si="0"/>
        <v>16317985</v>
      </c>
      <c r="G6" s="6">
        <f t="shared" si="0"/>
        <v>17879308</v>
      </c>
      <c r="H6" s="6">
        <f t="shared" si="0"/>
        <v>20845348</v>
      </c>
      <c r="I6" s="6">
        <f t="shared" si="0"/>
        <v>23374802</v>
      </c>
      <c r="J6" s="6">
        <f t="shared" si="0"/>
        <v>23079424</v>
      </c>
    </row>
    <row r="7" spans="2:10" x14ac:dyDescent="0.4">
      <c r="B7" s="1" t="s">
        <v>24</v>
      </c>
      <c r="C7" s="1">
        <f>4196727+9234083</f>
        <v>13430810</v>
      </c>
      <c r="D7" s="1">
        <f>4355722+10111793</f>
        <v>14467515</v>
      </c>
      <c r="E7" s="1">
        <f>5176096+10756058</f>
        <v>15932154</v>
      </c>
      <c r="F7" s="1">
        <f>5246612+11724651</f>
        <v>16971263</v>
      </c>
      <c r="G7" s="1">
        <f>5735145+12734132</f>
        <v>18469277</v>
      </c>
      <c r="H7" s="1">
        <f>7218744+14263995</f>
        <v>21482739</v>
      </c>
      <c r="I7" s="1">
        <f>5535208+268513+18445088</f>
        <v>24248809</v>
      </c>
      <c r="J7" s="1">
        <f>5776518+325220+18445728</f>
        <v>24547466</v>
      </c>
    </row>
    <row r="8" spans="2:10" hidden="1" outlineLevel="1" x14ac:dyDescent="0.4">
      <c r="B8" s="1" t="s">
        <v>34</v>
      </c>
      <c r="C8" s="1">
        <f>4196727</f>
        <v>4196727</v>
      </c>
      <c r="D8" s="1">
        <f>4355722</f>
        <v>4355722</v>
      </c>
      <c r="E8" s="1">
        <f>5176096</f>
        <v>5176096</v>
      </c>
      <c r="F8" s="1">
        <f>5246612</f>
        <v>5246612</v>
      </c>
      <c r="G8" s="1">
        <f>5735145</f>
        <v>5735145</v>
      </c>
      <c r="H8" s="1">
        <f>7218744</f>
        <v>7218744</v>
      </c>
      <c r="I8" s="1">
        <f>5535208</f>
        <v>5535208</v>
      </c>
      <c r="J8" s="1">
        <f>5776518</f>
        <v>5776518</v>
      </c>
    </row>
    <row r="9" spans="2:10" collapsed="1" x14ac:dyDescent="0.4">
      <c r="B9" s="1" t="s">
        <v>25</v>
      </c>
      <c r="C9" s="1">
        <f>820818+2120534</f>
        <v>2941352</v>
      </c>
      <c r="D9" s="1">
        <f>758199+2097914</f>
        <v>2856113</v>
      </c>
      <c r="E9" s="1">
        <f>739470+2066269</f>
        <v>2805739</v>
      </c>
      <c r="F9" s="1">
        <f>777053+2824265</f>
        <v>3601318</v>
      </c>
      <c r="G9" s="1">
        <f>908644+3234086</f>
        <v>4142730</v>
      </c>
      <c r="H9" s="1">
        <f>985434+3427241</f>
        <v>4412675</v>
      </c>
      <c r="I9" s="1">
        <f>24945759-268513-18445088</f>
        <v>6232158</v>
      </c>
      <c r="J9" s="1">
        <f>26264704-325220-18445728</f>
        <v>7493756</v>
      </c>
    </row>
    <row r="10" spans="2:10" x14ac:dyDescent="0.4">
      <c r="B10" s="1" t="s">
        <v>26</v>
      </c>
      <c r="C10" s="1">
        <v>4830750</v>
      </c>
      <c r="D10" s="1">
        <v>5221739</v>
      </c>
      <c r="E10" s="1">
        <v>5620541</v>
      </c>
      <c r="F10" s="1">
        <v>6079815</v>
      </c>
      <c r="G10" s="1">
        <v>6240443</v>
      </c>
      <c r="H10" s="1">
        <v>7815424</v>
      </c>
      <c r="I10" s="1">
        <v>8760150</v>
      </c>
      <c r="J10" s="1">
        <v>9308936</v>
      </c>
    </row>
    <row r="11" spans="2:10" x14ac:dyDescent="0.4">
      <c r="B11" s="1" t="s">
        <v>28</v>
      </c>
      <c r="C11" s="1">
        <v>13541502</v>
      </c>
      <c r="D11" s="1">
        <v>14513076</v>
      </c>
      <c r="E11" s="1">
        <v>15409171</v>
      </c>
      <c r="F11" s="1">
        <v>16536095</v>
      </c>
      <c r="G11" s="1">
        <v>18242041</v>
      </c>
      <c r="H11" s="1">
        <v>20725185</v>
      </c>
      <c r="I11" s="1">
        <v>23283718</v>
      </c>
      <c r="J11" s="1">
        <v>24752900</v>
      </c>
    </row>
    <row r="12" spans="2:10" x14ac:dyDescent="0.4">
      <c r="B12" s="1" t="s">
        <v>9</v>
      </c>
      <c r="C12" s="1">
        <v>3124410</v>
      </c>
      <c r="D12" s="1">
        <v>3135422</v>
      </c>
      <c r="E12" s="1">
        <v>3647157</v>
      </c>
      <c r="F12" s="1">
        <v>4436377</v>
      </c>
      <c r="G12" s="1">
        <v>4789535</v>
      </c>
      <c r="H12" s="1">
        <v>5621476</v>
      </c>
      <c r="I12" s="1">
        <v>7197249</v>
      </c>
      <c r="J12" s="1">
        <v>7288322</v>
      </c>
    </row>
    <row r="14" spans="2:10" ht="19.5" x14ac:dyDescent="0.4">
      <c r="B14" s="19"/>
      <c r="C14" s="20" t="s">
        <v>21</v>
      </c>
      <c r="D14" s="20" t="s">
        <v>20</v>
      </c>
      <c r="E14" s="20" t="s">
        <v>5</v>
      </c>
      <c r="F14" s="20" t="s">
        <v>1</v>
      </c>
      <c r="G14" s="20" t="s">
        <v>2</v>
      </c>
      <c r="H14" s="20" t="s">
        <v>3</v>
      </c>
      <c r="I14" s="20" t="s">
        <v>4</v>
      </c>
      <c r="J14" s="20" t="s">
        <v>0</v>
      </c>
    </row>
    <row r="15" spans="2:10" x14ac:dyDescent="0.4">
      <c r="B15" s="1" t="s">
        <v>29</v>
      </c>
      <c r="C15" s="2">
        <f>C7/C10</f>
        <v>2.7802742845313873</v>
      </c>
      <c r="D15" s="2">
        <f>D7/D10</f>
        <v>2.7706315846119463</v>
      </c>
      <c r="E15" s="2">
        <f t="shared" ref="E15:J15" si="1">E7/E10</f>
        <v>2.8346299760112061</v>
      </c>
      <c r="F15" s="2">
        <f t="shared" si="1"/>
        <v>2.7914110873439406</v>
      </c>
      <c r="G15" s="2">
        <f t="shared" si="1"/>
        <v>2.9596099187189115</v>
      </c>
      <c r="H15" s="2">
        <f t="shared" si="1"/>
        <v>2.7487618074208129</v>
      </c>
      <c r="I15" s="2">
        <f t="shared" si="1"/>
        <v>2.7680814826230145</v>
      </c>
      <c r="J15" s="2">
        <f t="shared" si="1"/>
        <v>2.636978705192516</v>
      </c>
    </row>
    <row r="16" spans="2:10" x14ac:dyDescent="0.4">
      <c r="B16" s="1" t="s">
        <v>30</v>
      </c>
      <c r="C16" s="2">
        <f>C6/C10</f>
        <v>2.6388581483206544</v>
      </c>
      <c r="D16" s="2">
        <f>D6/D10</f>
        <v>2.6479071435780304</v>
      </c>
      <c r="E16" s="2">
        <f t="shared" ref="E16:J16" si="2">E6/E10</f>
        <v>2.7113434454085468</v>
      </c>
      <c r="F16" s="2">
        <f t="shared" si="2"/>
        <v>2.6839607784118433</v>
      </c>
      <c r="G16" s="2">
        <f t="shared" si="2"/>
        <v>2.8650703163220945</v>
      </c>
      <c r="H16" s="2">
        <f t="shared" si="2"/>
        <v>2.6672062833699104</v>
      </c>
      <c r="I16" s="2">
        <f t="shared" si="2"/>
        <v>2.6683107024423096</v>
      </c>
      <c r="J16" s="2">
        <f t="shared" si="2"/>
        <v>2.4792762567064592</v>
      </c>
    </row>
    <row r="17" spans="2:10" x14ac:dyDescent="0.4">
      <c r="B17" s="1" t="s">
        <v>31</v>
      </c>
      <c r="C17" s="2">
        <f>C12/SUM(C7:C9)</f>
        <v>0.15189979390719643</v>
      </c>
      <c r="D17" s="2">
        <f>D12/SUM(D7:D9)</f>
        <v>0.14462712212312639</v>
      </c>
      <c r="E17" s="2">
        <f t="shared" ref="E17:J17" si="3">E12/SUM(E7:E9)</f>
        <v>0.15251144424294918</v>
      </c>
      <c r="F17" s="2">
        <f t="shared" si="3"/>
        <v>0.17182477391915385</v>
      </c>
      <c r="G17" s="2">
        <f t="shared" si="3"/>
        <v>0.16896000698765082</v>
      </c>
      <c r="H17" s="2">
        <f t="shared" si="3"/>
        <v>0.16976049942142574</v>
      </c>
      <c r="I17" s="2">
        <f t="shared" si="3"/>
        <v>0.19983379689819922</v>
      </c>
      <c r="J17" s="2">
        <f t="shared" si="3"/>
        <v>0.19272230439999852</v>
      </c>
    </row>
    <row r="18" spans="2:10" x14ac:dyDescent="0.4">
      <c r="B18" s="1" t="s">
        <v>32</v>
      </c>
      <c r="C18" s="2">
        <f>C9/C12</f>
        <v>0.9414103782794192</v>
      </c>
      <c r="D18" s="2">
        <f t="shared" ref="D18:J18" si="4">D9/D12</f>
        <v>0.91091821132849105</v>
      </c>
      <c r="E18" s="2">
        <f t="shared" si="4"/>
        <v>0.76929482333773946</v>
      </c>
      <c r="F18" s="2">
        <f t="shared" si="4"/>
        <v>0.8117700547090565</v>
      </c>
      <c r="G18" s="2">
        <f t="shared" si="4"/>
        <v>0.86495453107660769</v>
      </c>
      <c r="H18" s="2">
        <f t="shared" si="4"/>
        <v>0.78496732886523046</v>
      </c>
      <c r="I18" s="2">
        <f t="shared" si="4"/>
        <v>0.86590834914840376</v>
      </c>
      <c r="J18" s="2">
        <f t="shared" si="4"/>
        <v>1.0281867348890459</v>
      </c>
    </row>
    <row r="20" spans="2:10" ht="19.5" x14ac:dyDescent="0.4">
      <c r="B20" s="19"/>
      <c r="C20" s="20" t="s">
        <v>21</v>
      </c>
      <c r="D20" s="20" t="s">
        <v>20</v>
      </c>
      <c r="E20" s="20" t="s">
        <v>5</v>
      </c>
      <c r="F20" s="20" t="s">
        <v>1</v>
      </c>
      <c r="G20" s="20" t="s">
        <v>2</v>
      </c>
      <c r="H20" s="20" t="s">
        <v>3</v>
      </c>
      <c r="I20" s="20" t="s">
        <v>4</v>
      </c>
      <c r="J20" s="20" t="s">
        <v>0</v>
      </c>
    </row>
    <row r="21" spans="2:10" x14ac:dyDescent="0.4">
      <c r="B21" s="1" t="s">
        <v>29</v>
      </c>
      <c r="C21" s="2">
        <f>C8/C10</f>
        <v>0.86875267815556589</v>
      </c>
      <c r="D21" s="2">
        <f t="shared" ref="D21:J21" si="5">D8/D10</f>
        <v>0.83415161117780878</v>
      </c>
      <c r="E21" s="2">
        <f t="shared" si="5"/>
        <v>0.920924871822837</v>
      </c>
      <c r="F21" s="2">
        <f t="shared" si="5"/>
        <v>0.86295586296622517</v>
      </c>
      <c r="G21" s="2">
        <f t="shared" si="5"/>
        <v>0.91902850486736276</v>
      </c>
      <c r="H21" s="2">
        <f t="shared" si="5"/>
        <v>0.9236535343443939</v>
      </c>
      <c r="I21" s="2">
        <f t="shared" si="5"/>
        <v>0.63186223980182987</v>
      </c>
      <c r="J21" s="2">
        <f t="shared" si="5"/>
        <v>0.62053472061683523</v>
      </c>
    </row>
    <row r="22" spans="2:10" x14ac:dyDescent="0.4">
      <c r="B22" s="1" t="s">
        <v>30</v>
      </c>
      <c r="C22" s="2">
        <f>(C8-C5)/C10</f>
        <v>0.72733654194483255</v>
      </c>
      <c r="D22" s="2">
        <f t="shared" ref="D22:J22" si="6">(D8-D5)/D10</f>
        <v>0.71142717014389267</v>
      </c>
      <c r="E22" s="2">
        <f t="shared" si="6"/>
        <v>0.79763834122017796</v>
      </c>
      <c r="F22" s="2">
        <f t="shared" si="6"/>
        <v>0.75550555403412767</v>
      </c>
      <c r="G22" s="2">
        <f t="shared" si="6"/>
        <v>0.82448890247054574</v>
      </c>
      <c r="H22" s="2">
        <f t="shared" si="6"/>
        <v>0.84209801029349141</v>
      </c>
      <c r="I22" s="2">
        <f t="shared" si="6"/>
        <v>0.53209145962112525</v>
      </c>
      <c r="J22" s="2">
        <f t="shared" si="6"/>
        <v>0.46283227213077843</v>
      </c>
    </row>
    <row r="24" spans="2:10" x14ac:dyDescent="0.4">
      <c r="B24" s="13" t="s">
        <v>49</v>
      </c>
      <c r="C24"/>
      <c r="D24"/>
      <c r="E24"/>
      <c r="F24"/>
      <c r="G24"/>
    </row>
    <row r="25" spans="2:10" x14ac:dyDescent="0.4">
      <c r="B25"/>
      <c r="C25" s="4" t="s">
        <v>50</v>
      </c>
      <c r="D25" s="4" t="s">
        <v>51</v>
      </c>
      <c r="E25" s="4" t="s">
        <v>56</v>
      </c>
      <c r="F25" s="4" t="s">
        <v>53</v>
      </c>
      <c r="G25" s="4" t="s">
        <v>52</v>
      </c>
    </row>
    <row r="26" spans="2:10" hidden="1" outlineLevel="1" x14ac:dyDescent="0.4">
      <c r="B26" s="10" t="s">
        <v>24</v>
      </c>
      <c r="C26" s="12">
        <f>安全性!J7</f>
        <v>24547466</v>
      </c>
      <c r="D26" s="6">
        <v>3802885</v>
      </c>
      <c r="E26" s="6">
        <v>2178851</v>
      </c>
      <c r="F26" s="6">
        <f>135405*130</f>
        <v>17602650</v>
      </c>
      <c r="G26" s="6">
        <f>9266*130</f>
        <v>1204580</v>
      </c>
    </row>
    <row r="27" spans="2:10" hidden="1" outlineLevel="1" x14ac:dyDescent="0.4">
      <c r="B27" s="10" t="s">
        <v>27</v>
      </c>
      <c r="C27" s="12">
        <f>安全性!J6</f>
        <v>23079424</v>
      </c>
      <c r="D27" s="6">
        <f>D26-1288751</f>
        <v>2514134</v>
      </c>
      <c r="E27" s="6">
        <f>E26-485928</f>
        <v>1692923</v>
      </c>
      <c r="F27" s="6">
        <f>F26-(4946*130)</f>
        <v>16959670</v>
      </c>
      <c r="G27" s="6">
        <f>G26</f>
        <v>1204580</v>
      </c>
    </row>
    <row r="28" spans="2:10" hidden="1" outlineLevel="1" x14ac:dyDescent="0.4">
      <c r="B28" s="10" t="s">
        <v>25</v>
      </c>
      <c r="C28" s="12">
        <f>安全性!J9</f>
        <v>7493756</v>
      </c>
      <c r="D28" s="6">
        <v>4256642</v>
      </c>
      <c r="E28" s="6">
        <v>1004911</v>
      </c>
      <c r="F28" s="6">
        <f>217350*130</f>
        <v>28255500</v>
      </c>
      <c r="G28" s="6">
        <f>(32736+1398+5193)*130</f>
        <v>5112510</v>
      </c>
    </row>
    <row r="29" spans="2:10" hidden="1" outlineLevel="1" x14ac:dyDescent="0.4">
      <c r="B29" s="10" t="s">
        <v>26</v>
      </c>
      <c r="C29" s="12">
        <f>安全性!J10</f>
        <v>9308936</v>
      </c>
      <c r="D29" s="6">
        <v>2873420</v>
      </c>
      <c r="E29" s="6">
        <v>876242</v>
      </c>
      <c r="F29" s="6">
        <f>153982*130</f>
        <v>20017660</v>
      </c>
      <c r="G29" s="6">
        <f>7931*130</f>
        <v>1031030</v>
      </c>
    </row>
    <row r="30" spans="2:10" hidden="1" outlineLevel="1" x14ac:dyDescent="0.4">
      <c r="B30" s="10" t="s">
        <v>9</v>
      </c>
      <c r="C30" s="12">
        <f>安全性!J12</f>
        <v>7288322</v>
      </c>
      <c r="D30" s="6">
        <v>3789958</v>
      </c>
      <c r="E30" s="6">
        <v>1615402</v>
      </c>
      <c r="F30" s="6">
        <f>50672*130</f>
        <v>6587360</v>
      </c>
      <c r="G30" s="6">
        <f>20777*130</f>
        <v>2701010</v>
      </c>
    </row>
    <row r="31" spans="2:10" hidden="1" outlineLevel="1" x14ac:dyDescent="0.4">
      <c r="B31" s="10" t="s">
        <v>22</v>
      </c>
      <c r="C31" s="12">
        <f>安全性!C12+安全性!C11</f>
        <v>16665912</v>
      </c>
      <c r="D31" s="6">
        <v>8059527</v>
      </c>
      <c r="E31" s="6">
        <v>3183762</v>
      </c>
      <c r="F31" s="6">
        <f>352755*130</f>
        <v>45858150</v>
      </c>
      <c r="G31" s="6">
        <f>48595*130</f>
        <v>6317350</v>
      </c>
    </row>
    <row r="32" spans="2:10" collapsed="1" x14ac:dyDescent="0.4">
      <c r="B32" t="s">
        <v>29</v>
      </c>
      <c r="C32" s="18">
        <f>C26/C29</f>
        <v>2.636978705192516</v>
      </c>
      <c r="D32" s="2">
        <f>D26/D29</f>
        <v>1.3234699417418965</v>
      </c>
      <c r="E32" s="2">
        <f>E26/E29</f>
        <v>2.4865858975032014</v>
      </c>
      <c r="F32" s="2">
        <f>F26/F29</f>
        <v>0.87935602862672257</v>
      </c>
      <c r="G32" s="2">
        <f>G26/G29</f>
        <v>1.1683268188122558</v>
      </c>
    </row>
    <row r="33" spans="2:7" x14ac:dyDescent="0.4">
      <c r="B33" t="s">
        <v>30</v>
      </c>
      <c r="C33" s="2">
        <f>C27/C29</f>
        <v>2.4792762567064592</v>
      </c>
      <c r="D33" s="2">
        <f>D27/D29</f>
        <v>0.87496224011804746</v>
      </c>
      <c r="E33" s="2">
        <f>E27/E29</f>
        <v>1.9320267688606572</v>
      </c>
      <c r="F33" s="2">
        <f>F27/F29</f>
        <v>0.84723539114961488</v>
      </c>
      <c r="G33" s="2">
        <f>G27/G29</f>
        <v>1.1683268188122558</v>
      </c>
    </row>
    <row r="34" spans="2:7" x14ac:dyDescent="0.4">
      <c r="B34" t="s">
        <v>31</v>
      </c>
      <c r="C34" s="2">
        <f>C30/C31</f>
        <v>0.43731912180983556</v>
      </c>
      <c r="D34" s="2">
        <f>D30/D31</f>
        <v>0.47024571044926083</v>
      </c>
      <c r="E34" s="2">
        <f>E30/E31</f>
        <v>0.50738780097256009</v>
      </c>
      <c r="F34" s="2">
        <f>F30/F31</f>
        <v>0.14364644016385311</v>
      </c>
      <c r="G34" s="2">
        <f>G30/G31</f>
        <v>0.42755427513118632</v>
      </c>
    </row>
    <row r="35" spans="2:7" x14ac:dyDescent="0.4">
      <c r="B35" t="s">
        <v>32</v>
      </c>
      <c r="C35" s="2">
        <f>C28/C30</f>
        <v>1.0281867348890459</v>
      </c>
      <c r="D35" s="2">
        <f>D30/D28</f>
        <v>0.89036334274764006</v>
      </c>
      <c r="E35" s="2">
        <f>E30/E28</f>
        <v>1.6075075305176278</v>
      </c>
      <c r="F35" s="2">
        <f>F30/F28</f>
        <v>0.2331354957441914</v>
      </c>
      <c r="G35" s="2">
        <f>G30/G28</f>
        <v>0.52831388104864341</v>
      </c>
    </row>
    <row r="72" spans="5:8" x14ac:dyDescent="0.4">
      <c r="E72" s="1">
        <v>2050</v>
      </c>
    </row>
    <row r="73" spans="5:8" x14ac:dyDescent="0.4">
      <c r="E73" s="1">
        <f>E72-G76</f>
        <v>1018</v>
      </c>
      <c r="G73" s="1">
        <v>305</v>
      </c>
    </row>
    <row r="74" spans="5:8" x14ac:dyDescent="0.4">
      <c r="E74" s="1">
        <f>E73+G77</f>
        <v>1333</v>
      </c>
      <c r="G74" s="1">
        <v>370</v>
      </c>
    </row>
    <row r="75" spans="5:8" x14ac:dyDescent="0.4">
      <c r="E75" s="1">
        <f>E74+G78</f>
        <v>1417</v>
      </c>
      <c r="G75" s="1">
        <v>357</v>
      </c>
    </row>
    <row r="76" spans="5:8" x14ac:dyDescent="0.4">
      <c r="F76" s="1" t="s">
        <v>35</v>
      </c>
      <c r="G76" s="1">
        <f>SUM(G73:G75)</f>
        <v>1032</v>
      </c>
      <c r="H76" s="1">
        <f>G77-G76+G78</f>
        <v>-633</v>
      </c>
    </row>
    <row r="77" spans="5:8" x14ac:dyDescent="0.4">
      <c r="F77" s="1" t="s">
        <v>36</v>
      </c>
      <c r="G77" s="1">
        <v>315</v>
      </c>
    </row>
    <row r="78" spans="5:8" x14ac:dyDescent="0.4">
      <c r="F78" s="1" t="s">
        <v>37</v>
      </c>
      <c r="G78" s="1">
        <v>84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CBC0-042E-4FFD-89A6-B65D90CB7E39}">
  <dimension ref="B4:K4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7" sqref="E7"/>
    </sheetView>
  </sheetViews>
  <sheetFormatPr defaultRowHeight="18.75" x14ac:dyDescent="0.4"/>
  <cols>
    <col min="2" max="2" width="14.5" bestFit="1" customWidth="1"/>
    <col min="3" max="4" width="10.375" bestFit="1" customWidth="1"/>
    <col min="5" max="8" width="10.5" bestFit="1" customWidth="1"/>
    <col min="9" max="9" width="11.25" bestFit="1" customWidth="1"/>
    <col min="10" max="10" width="11.5" bestFit="1" customWidth="1"/>
  </cols>
  <sheetData>
    <row r="4" spans="2:11" ht="19.5" x14ac:dyDescent="0.4">
      <c r="B4" s="19"/>
      <c r="C4" s="20" t="s">
        <v>21</v>
      </c>
      <c r="D4" s="20" t="s">
        <v>20</v>
      </c>
      <c r="E4" s="20" t="s">
        <v>5</v>
      </c>
      <c r="F4" s="20" t="s">
        <v>1</v>
      </c>
      <c r="G4" s="20" t="s">
        <v>2</v>
      </c>
      <c r="H4" s="20" t="s">
        <v>3</v>
      </c>
      <c r="I4" s="20" t="s">
        <v>4</v>
      </c>
      <c r="J4" s="20" t="s">
        <v>0</v>
      </c>
    </row>
    <row r="5" spans="2:11" x14ac:dyDescent="0.4">
      <c r="B5" t="s">
        <v>6</v>
      </c>
      <c r="C5" s="1">
        <v>8105712</v>
      </c>
      <c r="D5" s="1">
        <v>7603250</v>
      </c>
      <c r="E5" s="1">
        <v>8543982</v>
      </c>
      <c r="F5" s="1">
        <v>8665687</v>
      </c>
      <c r="G5" s="1">
        <v>8259885</v>
      </c>
      <c r="H5" s="1">
        <v>8999360</v>
      </c>
      <c r="I5" s="1">
        <v>9921513</v>
      </c>
      <c r="J5" s="1">
        <v>11539837</v>
      </c>
    </row>
    <row r="6" spans="2:11" x14ac:dyDescent="0.4">
      <c r="B6" t="s">
        <v>7</v>
      </c>
      <c r="C6" s="1">
        <v>209715</v>
      </c>
      <c r="D6" s="1">
        <v>127561</v>
      </c>
      <c r="E6" s="1">
        <v>547279</v>
      </c>
      <c r="F6" s="1">
        <v>966550</v>
      </c>
      <c r="G6" s="1">
        <v>622260</v>
      </c>
      <c r="H6" s="1">
        <v>1191370</v>
      </c>
      <c r="I6" s="1">
        <v>888406</v>
      </c>
      <c r="J6" s="1">
        <v>943633</v>
      </c>
    </row>
    <row r="7" spans="2:11" x14ac:dyDescent="0.4">
      <c r="B7" t="s">
        <v>38</v>
      </c>
      <c r="D7" s="3">
        <f>D5/C5-1</f>
        <v>-6.1988632213925143E-2</v>
      </c>
      <c r="E7" s="3">
        <f t="shared" ref="E7:J7" si="0">E5/D5-1</f>
        <v>0.12372761647979491</v>
      </c>
      <c r="F7" s="3">
        <f t="shared" si="0"/>
        <v>1.4244529073212053E-2</v>
      </c>
      <c r="G7" s="3">
        <f t="shared" si="0"/>
        <v>-4.6828601125334934E-2</v>
      </c>
      <c r="H7" s="3">
        <f t="shared" si="0"/>
        <v>8.9526064830200314E-2</v>
      </c>
      <c r="I7" s="3">
        <f t="shared" si="0"/>
        <v>0.10246873110976784</v>
      </c>
      <c r="J7" s="3">
        <f t="shared" si="0"/>
        <v>0.16311262203657839</v>
      </c>
    </row>
    <row r="8" spans="2:11" x14ac:dyDescent="0.4">
      <c r="B8" t="s">
        <v>39</v>
      </c>
      <c r="D8" s="3">
        <f t="shared" ref="D8:J8" si="1">D6/C6-1</f>
        <v>-0.39174117254369023</v>
      </c>
      <c r="E8" s="3">
        <f t="shared" si="1"/>
        <v>3.2903316844490087</v>
      </c>
      <c r="F8" s="3">
        <f t="shared" si="1"/>
        <v>0.76610101977236478</v>
      </c>
      <c r="G8" s="3">
        <f t="shared" si="1"/>
        <v>-0.35620505923128654</v>
      </c>
      <c r="H8" s="3">
        <f t="shared" si="1"/>
        <v>0.91458554302060224</v>
      </c>
      <c r="I8" s="3">
        <f t="shared" si="1"/>
        <v>-0.25429883243660656</v>
      </c>
      <c r="J8" s="3">
        <f t="shared" si="1"/>
        <v>6.2164145672136462E-2</v>
      </c>
    </row>
    <row r="10" spans="2:11" x14ac:dyDescent="0.4">
      <c r="B10" s="8" t="s">
        <v>6</v>
      </c>
    </row>
    <row r="11" spans="2:11" ht="19.5" x14ac:dyDescent="0.4">
      <c r="B11" s="19"/>
      <c r="C11" s="20" t="s">
        <v>21</v>
      </c>
      <c r="D11" s="20" t="s">
        <v>20</v>
      </c>
      <c r="E11" s="20" t="s">
        <v>5</v>
      </c>
      <c r="F11" s="20" t="s">
        <v>1</v>
      </c>
      <c r="G11" s="20" t="s">
        <v>2</v>
      </c>
      <c r="H11" s="20" t="s">
        <v>3</v>
      </c>
      <c r="I11" s="20" t="s">
        <v>4</v>
      </c>
      <c r="J11" s="20" t="s">
        <v>0</v>
      </c>
    </row>
    <row r="12" spans="2:11" x14ac:dyDescent="0.4">
      <c r="B12" t="s">
        <v>40</v>
      </c>
      <c r="C12">
        <v>1551893</v>
      </c>
      <c r="D12">
        <v>1649799</v>
      </c>
      <c r="E12">
        <v>1943812</v>
      </c>
      <c r="F12">
        <v>2310872</v>
      </c>
      <c r="G12">
        <v>1977551</v>
      </c>
      <c r="H12">
        <v>2656278</v>
      </c>
      <c r="I12" s="1">
        <v>2674356</v>
      </c>
      <c r="J12" s="1">
        <v>3644598</v>
      </c>
      <c r="K12" s="2">
        <f>J12/C12-1</f>
        <v>1.3484853659369556</v>
      </c>
    </row>
    <row r="13" spans="2:11" x14ac:dyDescent="0.4">
      <c r="B13" t="s">
        <v>41</v>
      </c>
      <c r="C13">
        <v>619239</v>
      </c>
      <c r="D13">
        <v>647658</v>
      </c>
      <c r="E13">
        <v>799995</v>
      </c>
      <c r="F13">
        <v>807489</v>
      </c>
      <c r="G13">
        <v>849909</v>
      </c>
      <c r="H13">
        <v>939876</v>
      </c>
      <c r="I13" s="1">
        <v>1116949</v>
      </c>
      <c r="J13" s="1">
        <v>1380632</v>
      </c>
      <c r="K13" s="2">
        <f t="shared" ref="K13:K19" si="2">J13/C13-1</f>
        <v>1.2295624145120057</v>
      </c>
    </row>
    <row r="14" spans="2:11" x14ac:dyDescent="0.4">
      <c r="B14" t="s">
        <v>42</v>
      </c>
      <c r="C14">
        <v>938142</v>
      </c>
      <c r="D14">
        <v>903129</v>
      </c>
      <c r="E14">
        <v>1011067</v>
      </c>
      <c r="F14">
        <v>986873</v>
      </c>
      <c r="G14">
        <v>1011854</v>
      </c>
      <c r="H14">
        <v>758767</v>
      </c>
      <c r="I14" s="1">
        <v>1238911</v>
      </c>
      <c r="J14" s="1">
        <v>1369422</v>
      </c>
      <c r="K14" s="2">
        <f t="shared" si="2"/>
        <v>0.4597171856712523</v>
      </c>
    </row>
    <row r="15" spans="2:11" x14ac:dyDescent="0.4">
      <c r="B15" t="s">
        <v>43</v>
      </c>
      <c r="C15">
        <f>1127473+1159042</f>
        <v>2286515</v>
      </c>
      <c r="D15">
        <f>759145+1039004</f>
        <v>1798149</v>
      </c>
      <c r="E15">
        <f>1222733+723742</f>
        <v>1946475</v>
      </c>
      <c r="F15">
        <f>1155411+498000</f>
        <v>1653411</v>
      </c>
      <c r="G15">
        <v>1991268</v>
      </c>
      <c r="H15">
        <v>1920730</v>
      </c>
      <c r="I15" s="1">
        <v>2339186</v>
      </c>
      <c r="J15" s="1">
        <v>2476025</v>
      </c>
      <c r="K15" s="2">
        <f t="shared" si="2"/>
        <v>8.2881590542813077E-2</v>
      </c>
    </row>
    <row r="16" spans="2:11" x14ac:dyDescent="0.4">
      <c r="B16" t="s">
        <v>44</v>
      </c>
      <c r="C16">
        <v>683955</v>
      </c>
      <c r="D16">
        <v>579633</v>
      </c>
      <c r="E16">
        <v>655892</v>
      </c>
      <c r="F16">
        <v>670450</v>
      </c>
      <c r="G16">
        <v>1070576</v>
      </c>
      <c r="H16">
        <v>1012497</v>
      </c>
      <c r="I16" s="1">
        <v>1076424</v>
      </c>
      <c r="J16" s="1">
        <v>1402187</v>
      </c>
      <c r="K16" s="2">
        <f t="shared" si="2"/>
        <v>1.0501158701961386</v>
      </c>
    </row>
    <row r="17" spans="2:11" x14ac:dyDescent="0.4">
      <c r="B17" t="s">
        <v>45</v>
      </c>
      <c r="C17">
        <v>1073069</v>
      </c>
      <c r="D17">
        <v>1087504</v>
      </c>
      <c r="E17">
        <v>1288377</v>
      </c>
      <c r="F17">
        <v>1282549</v>
      </c>
      <c r="G17">
        <v>1307748</v>
      </c>
      <c r="H17">
        <v>1668921</v>
      </c>
      <c r="I17" s="1">
        <v>1533829</v>
      </c>
      <c r="J17" s="1">
        <v>1454546</v>
      </c>
      <c r="K17" s="2">
        <f t="shared" si="2"/>
        <v>0.35550090441527993</v>
      </c>
    </row>
    <row r="18" spans="2:11" x14ac:dyDescent="0.4">
      <c r="B18" t="s">
        <v>46</v>
      </c>
      <c r="C18">
        <f>739059+224612+332196</f>
        <v>1295867</v>
      </c>
      <c r="D18">
        <f>773123+195373+266978</f>
        <v>1235474</v>
      </c>
      <c r="E18">
        <f>407174+850010</f>
        <v>1257184</v>
      </c>
      <c r="F18">
        <f>345737+879330</f>
        <v>1225067</v>
      </c>
      <c r="G18">
        <v>251420</v>
      </c>
      <c r="H18">
        <v>229253</v>
      </c>
      <c r="I18" s="1">
        <v>98783</v>
      </c>
      <c r="J18" s="1">
        <v>87623</v>
      </c>
      <c r="K18" s="2">
        <f t="shared" si="2"/>
        <v>-0.93238272137495593</v>
      </c>
    </row>
    <row r="19" spans="2:11" x14ac:dyDescent="0.4">
      <c r="C19" s="1">
        <f>SUM(C12:C18)</f>
        <v>8448680</v>
      </c>
      <c r="D19" s="1">
        <f t="shared" ref="D19:J19" si="3">SUM(D12:D18)</f>
        <v>7901346</v>
      </c>
      <c r="E19" s="1">
        <f t="shared" si="3"/>
        <v>8902802</v>
      </c>
      <c r="F19" s="1">
        <f t="shared" si="3"/>
        <v>8936711</v>
      </c>
      <c r="G19" s="1">
        <f t="shared" si="3"/>
        <v>8460326</v>
      </c>
      <c r="H19" s="1">
        <f t="shared" si="3"/>
        <v>9186322</v>
      </c>
      <c r="I19" s="1">
        <f t="shared" si="3"/>
        <v>10078438</v>
      </c>
      <c r="J19" s="1">
        <f t="shared" si="3"/>
        <v>11815033</v>
      </c>
      <c r="K19" s="2">
        <f t="shared" si="2"/>
        <v>0.39844721305576725</v>
      </c>
    </row>
    <row r="21" spans="2:11" x14ac:dyDescent="0.4">
      <c r="B21" s="8" t="s">
        <v>6</v>
      </c>
    </row>
    <row r="22" spans="2:11" ht="19.5" x14ac:dyDescent="0.4">
      <c r="B22" s="19"/>
      <c r="C22" s="20" t="s">
        <v>21</v>
      </c>
      <c r="D22" s="20" t="s">
        <v>20</v>
      </c>
      <c r="E22" s="20" t="s">
        <v>5</v>
      </c>
      <c r="F22" s="20" t="s">
        <v>1</v>
      </c>
      <c r="G22" s="20" t="s">
        <v>2</v>
      </c>
      <c r="H22" s="20" t="s">
        <v>3</v>
      </c>
      <c r="I22" s="20" t="s">
        <v>4</v>
      </c>
      <c r="J22" s="20" t="s">
        <v>0</v>
      </c>
    </row>
    <row r="23" spans="2:11" x14ac:dyDescent="0.4">
      <c r="B23" t="s">
        <v>40</v>
      </c>
      <c r="C23" s="9">
        <f>C12/C$19</f>
        <v>0.18368467026801821</v>
      </c>
      <c r="D23" s="9">
        <f t="shared" ref="D23:J23" si="4">D12/D$19</f>
        <v>0.20879974120864978</v>
      </c>
      <c r="E23" s="9">
        <f t="shared" si="4"/>
        <v>0.21833710330747555</v>
      </c>
      <c r="F23" s="9">
        <f t="shared" si="4"/>
        <v>0.25858193243576971</v>
      </c>
      <c r="G23" s="9">
        <f t="shared" si="4"/>
        <v>0.23374406612700266</v>
      </c>
      <c r="H23" s="9">
        <f t="shared" si="4"/>
        <v>0.28915576876142596</v>
      </c>
      <c r="I23" s="9">
        <f t="shared" si="4"/>
        <v>0.26535421461143088</v>
      </c>
      <c r="J23" s="9">
        <f t="shared" si="4"/>
        <v>0.30847125014377869</v>
      </c>
    </row>
    <row r="24" spans="2:11" x14ac:dyDescent="0.4">
      <c r="B24" t="s">
        <v>41</v>
      </c>
      <c r="C24" s="9">
        <f t="shared" ref="C24:J24" si="5">C13/C$19</f>
        <v>7.3294171397188676E-2</v>
      </c>
      <c r="D24" s="9">
        <f t="shared" si="5"/>
        <v>8.196805961920918E-2</v>
      </c>
      <c r="E24" s="9">
        <f t="shared" si="5"/>
        <v>8.9858788278117385E-2</v>
      </c>
      <c r="F24" s="9">
        <f t="shared" si="5"/>
        <v>9.035639621780317E-2</v>
      </c>
      <c r="G24" s="9">
        <f t="shared" si="5"/>
        <v>0.10045818565383888</v>
      </c>
      <c r="H24" s="9">
        <f t="shared" si="5"/>
        <v>0.10231254684954436</v>
      </c>
      <c r="I24" s="9">
        <f t="shared" si="5"/>
        <v>0.11082560611078821</v>
      </c>
      <c r="J24" s="9">
        <f t="shared" si="5"/>
        <v>0.11685384205020841</v>
      </c>
    </row>
    <row r="25" spans="2:11" x14ac:dyDescent="0.4">
      <c r="B25" t="s">
        <v>42</v>
      </c>
      <c r="C25" s="9">
        <f t="shared" ref="C25:J25" si="6">C14/C$19</f>
        <v>0.11104006779757311</v>
      </c>
      <c r="D25" s="9">
        <f t="shared" si="6"/>
        <v>0.11430065206611632</v>
      </c>
      <c r="E25" s="9">
        <f t="shared" si="6"/>
        <v>0.11356727915548386</v>
      </c>
      <c r="F25" s="9">
        <f t="shared" si="6"/>
        <v>0.11042910529388272</v>
      </c>
      <c r="G25" s="9">
        <f t="shared" si="6"/>
        <v>0.11959988303051207</v>
      </c>
      <c r="H25" s="9">
        <f t="shared" si="6"/>
        <v>8.2597474810919974E-2</v>
      </c>
      <c r="I25" s="9">
        <f t="shared" si="6"/>
        <v>0.12292688609088036</v>
      </c>
      <c r="J25" s="9">
        <f t="shared" si="6"/>
        <v>0.11590505079418738</v>
      </c>
    </row>
    <row r="26" spans="2:11" x14ac:dyDescent="0.4">
      <c r="B26" t="s">
        <v>43</v>
      </c>
      <c r="C26" s="9">
        <f t="shared" ref="C26:J26" si="7">C15/C$19</f>
        <v>0.27063576795428396</v>
      </c>
      <c r="D26" s="9">
        <f t="shared" si="7"/>
        <v>0.2275750232934996</v>
      </c>
      <c r="E26" s="9">
        <f t="shared" si="7"/>
        <v>0.21863622261845203</v>
      </c>
      <c r="F26" s="9">
        <f t="shared" si="7"/>
        <v>0.18501336789340062</v>
      </c>
      <c r="G26" s="9">
        <f t="shared" si="7"/>
        <v>0.23536539844918505</v>
      </c>
      <c r="H26" s="9">
        <f t="shared" si="7"/>
        <v>0.20908585612391989</v>
      </c>
      <c r="I26" s="9">
        <f t="shared" si="7"/>
        <v>0.23209806916508291</v>
      </c>
      <c r="J26" s="9">
        <f t="shared" si="7"/>
        <v>0.20956564404009706</v>
      </c>
    </row>
    <row r="27" spans="2:11" x14ac:dyDescent="0.4">
      <c r="B27" t="s">
        <v>44</v>
      </c>
      <c r="C27" s="9">
        <f t="shared" ref="C27:J27" si="8">C16/C$19</f>
        <v>8.0954066197323135E-2</v>
      </c>
      <c r="D27" s="9">
        <f t="shared" si="8"/>
        <v>7.3358766974639514E-2</v>
      </c>
      <c r="E27" s="9">
        <f t="shared" si="8"/>
        <v>7.367253590498811E-2</v>
      </c>
      <c r="F27" s="9">
        <f t="shared" si="8"/>
        <v>7.5022007537224822E-2</v>
      </c>
      <c r="G27" s="9">
        <f t="shared" si="8"/>
        <v>0.12654075032096873</v>
      </c>
      <c r="H27" s="9">
        <f t="shared" si="8"/>
        <v>0.11021788698458425</v>
      </c>
      <c r="I27" s="9">
        <f t="shared" si="8"/>
        <v>0.10680464571990222</v>
      </c>
      <c r="J27" s="9">
        <f t="shared" si="8"/>
        <v>0.11867821274811505</v>
      </c>
    </row>
    <row r="28" spans="2:11" x14ac:dyDescent="0.4">
      <c r="B28" t="s">
        <v>45</v>
      </c>
      <c r="C28" s="9">
        <f t="shared" ref="C28:J28" si="9">C17/C$19</f>
        <v>0.12701025485637993</v>
      </c>
      <c r="D28" s="9">
        <f t="shared" si="9"/>
        <v>0.13763528391238658</v>
      </c>
      <c r="E28" s="9">
        <f t="shared" si="9"/>
        <v>0.14471589955611727</v>
      </c>
      <c r="F28" s="9">
        <f t="shared" si="9"/>
        <v>0.14351465544762498</v>
      </c>
      <c r="G28" s="9">
        <f t="shared" si="9"/>
        <v>0.15457418543918994</v>
      </c>
      <c r="H28" s="9">
        <f t="shared" si="9"/>
        <v>0.18167455919790315</v>
      </c>
      <c r="I28" s="9">
        <f t="shared" si="9"/>
        <v>0.15218915867716803</v>
      </c>
      <c r="J28" s="9">
        <f t="shared" si="9"/>
        <v>0.12310977040859725</v>
      </c>
    </row>
    <row r="29" spans="2:11" x14ac:dyDescent="0.4">
      <c r="B29" t="s">
        <v>46</v>
      </c>
      <c r="C29" s="9">
        <f t="shared" ref="C29:J29" si="10">C18/C$19</f>
        <v>0.15338100152923298</v>
      </c>
      <c r="D29" s="9">
        <f t="shared" si="10"/>
        <v>0.15636247292549901</v>
      </c>
      <c r="E29" s="9">
        <f t="shared" si="10"/>
        <v>0.14121217117936577</v>
      </c>
      <c r="F29" s="9">
        <f t="shared" si="10"/>
        <v>0.137082535174294</v>
      </c>
      <c r="G29" s="9">
        <f t="shared" si="10"/>
        <v>2.971753097930269E-2</v>
      </c>
      <c r="H29" s="9">
        <f t="shared" si="10"/>
        <v>2.4955907271702427E-2</v>
      </c>
      <c r="I29" s="9">
        <f t="shared" si="10"/>
        <v>9.801419624747407E-3</v>
      </c>
      <c r="J29" s="9">
        <f t="shared" si="10"/>
        <v>7.4162298150161751E-3</v>
      </c>
    </row>
    <row r="31" spans="2:11" x14ac:dyDescent="0.4">
      <c r="B31" s="8" t="s">
        <v>47</v>
      </c>
    </row>
    <row r="32" spans="2:11" ht="19.5" x14ac:dyDescent="0.4">
      <c r="B32" s="19"/>
      <c r="C32" s="20" t="s">
        <v>21</v>
      </c>
      <c r="D32" s="20" t="s">
        <v>20</v>
      </c>
      <c r="E32" s="20" t="s">
        <v>5</v>
      </c>
      <c r="F32" s="20" t="s">
        <v>1</v>
      </c>
      <c r="G32" s="20" t="s">
        <v>2</v>
      </c>
      <c r="H32" s="20" t="s">
        <v>3</v>
      </c>
      <c r="I32" s="20" t="s">
        <v>4</v>
      </c>
      <c r="J32" s="20" t="s">
        <v>0</v>
      </c>
    </row>
    <row r="33" spans="2:11" x14ac:dyDescent="0.4">
      <c r="B33" t="s">
        <v>40</v>
      </c>
      <c r="C33">
        <v>88668</v>
      </c>
      <c r="D33">
        <v>135553</v>
      </c>
      <c r="E33">
        <v>177478</v>
      </c>
      <c r="F33">
        <v>311092</v>
      </c>
      <c r="G33" s="1">
        <v>238400</v>
      </c>
      <c r="H33" s="1">
        <v>342192</v>
      </c>
      <c r="I33" s="1">
        <v>346089</v>
      </c>
      <c r="J33" s="1">
        <v>250006</v>
      </c>
      <c r="K33" s="2">
        <f>J33/E33-1</f>
        <v>0.40865910140975226</v>
      </c>
    </row>
    <row r="34" spans="2:11" x14ac:dyDescent="0.4">
      <c r="B34" t="s">
        <v>41</v>
      </c>
      <c r="C34">
        <v>86509</v>
      </c>
      <c r="D34">
        <v>75798</v>
      </c>
      <c r="E34">
        <v>127786</v>
      </c>
      <c r="F34">
        <v>232487</v>
      </c>
      <c r="G34" s="1">
        <v>132345</v>
      </c>
      <c r="H34" s="1">
        <v>188056</v>
      </c>
      <c r="I34" s="1">
        <v>210933</v>
      </c>
      <c r="J34" s="1">
        <v>263107</v>
      </c>
      <c r="K34" s="2">
        <f t="shared" ref="K34:K40" si="11">J34/E34-1</f>
        <v>1.0589657708982205</v>
      </c>
    </row>
    <row r="35" spans="2:11" x14ac:dyDescent="0.4">
      <c r="B35" t="s">
        <v>42</v>
      </c>
      <c r="C35">
        <v>38507</v>
      </c>
      <c r="D35">
        <v>-80521</v>
      </c>
      <c r="E35">
        <v>41110</v>
      </c>
      <c r="F35">
        <v>54599</v>
      </c>
      <c r="G35" s="1">
        <v>68157</v>
      </c>
      <c r="H35" s="1">
        <v>80478</v>
      </c>
      <c r="I35" s="1">
        <v>217393</v>
      </c>
      <c r="J35" s="1">
        <v>119225</v>
      </c>
      <c r="K35" s="2">
        <f t="shared" si="11"/>
        <v>1.9001459498905375</v>
      </c>
    </row>
    <row r="36" spans="2:11" x14ac:dyDescent="0.4">
      <c r="B36" t="s">
        <v>48</v>
      </c>
      <c r="C36">
        <f>-61435+50558</f>
        <v>-10877</v>
      </c>
      <c r="D36">
        <f>10164+58504</f>
        <v>68668</v>
      </c>
      <c r="E36">
        <f>85841-27636</f>
        <v>58205</v>
      </c>
      <c r="F36">
        <f>89669-97136</f>
        <v>-7467</v>
      </c>
      <c r="G36" s="1">
        <v>87276</v>
      </c>
      <c r="H36" s="1">
        <v>139180</v>
      </c>
      <c r="I36" s="1">
        <v>212942</v>
      </c>
      <c r="J36" s="1">
        <v>179461</v>
      </c>
      <c r="K36" s="2">
        <f t="shared" si="11"/>
        <v>2.0832574521089255</v>
      </c>
    </row>
    <row r="37" spans="2:11" x14ac:dyDescent="0.4">
      <c r="B37" t="s">
        <v>44</v>
      </c>
      <c r="C37">
        <v>69320</v>
      </c>
      <c r="D37">
        <v>47257</v>
      </c>
      <c r="E37">
        <v>74924</v>
      </c>
      <c r="F37">
        <v>83975</v>
      </c>
      <c r="G37" s="1">
        <v>235584</v>
      </c>
      <c r="H37" s="1">
        <v>145876</v>
      </c>
      <c r="I37" s="1">
        <v>155597</v>
      </c>
      <c r="J37" s="1">
        <v>212214</v>
      </c>
      <c r="K37" s="2">
        <f t="shared" si="11"/>
        <v>1.8323901553574289</v>
      </c>
    </row>
    <row r="38" spans="2:11" x14ac:dyDescent="0.4">
      <c r="B38" t="s">
        <v>45</v>
      </c>
      <c r="C38">
        <v>156543</v>
      </c>
      <c r="D38">
        <v>166424</v>
      </c>
      <c r="E38">
        <v>178947</v>
      </c>
      <c r="F38">
        <v>161477</v>
      </c>
      <c r="G38" s="1">
        <v>129597</v>
      </c>
      <c r="H38" s="1">
        <v>164582</v>
      </c>
      <c r="I38" s="1">
        <v>150111</v>
      </c>
      <c r="J38" s="1">
        <v>223935</v>
      </c>
      <c r="K38" s="2">
        <f t="shared" si="11"/>
        <v>0.25140404700833208</v>
      </c>
    </row>
    <row r="39" spans="2:11" x14ac:dyDescent="0.4">
      <c r="B39" t="s">
        <v>46</v>
      </c>
      <c r="C39">
        <f>1667-42919+14500</f>
        <v>-26752</v>
      </c>
      <c r="D39">
        <f>30861-60445-7811</f>
        <v>-37395</v>
      </c>
      <c r="E39">
        <f>164023-23530</f>
        <v>140493</v>
      </c>
      <c r="F39">
        <f>143874-11127</f>
        <v>132747</v>
      </c>
      <c r="G39" s="1">
        <v>16288</v>
      </c>
      <c r="H39" s="1">
        <v>11368</v>
      </c>
      <c r="I39" s="1">
        <v>17981</v>
      </c>
      <c r="J39" s="1">
        <v>16849</v>
      </c>
      <c r="K39" s="2">
        <f t="shared" si="11"/>
        <v>-0.88007231677023057</v>
      </c>
    </row>
    <row r="40" spans="2:11" x14ac:dyDescent="0.4">
      <c r="C40">
        <f t="shared" ref="C40" si="12">SUM(C33:C39)</f>
        <v>401918</v>
      </c>
      <c r="D40">
        <f t="shared" ref="D40" si="13">SUM(D33:D39)</f>
        <v>375784</v>
      </c>
      <c r="E40">
        <f t="shared" ref="E40" si="14">SUM(E33:E39)</f>
        <v>798943</v>
      </c>
      <c r="F40">
        <f>SUM(F33:F39)</f>
        <v>968910</v>
      </c>
      <c r="G40">
        <f t="shared" ref="G40:J40" si="15">SUM(G33:G39)</f>
        <v>907647</v>
      </c>
      <c r="H40">
        <f t="shared" si="15"/>
        <v>1071732</v>
      </c>
      <c r="I40">
        <f t="shared" si="15"/>
        <v>1311046</v>
      </c>
      <c r="J40">
        <f t="shared" si="15"/>
        <v>1264797</v>
      </c>
      <c r="K40" s="2">
        <f t="shared" si="11"/>
        <v>0.58308790489434159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0900C-74FC-47BD-A5E7-68BE29A095AB}">
  <dimension ref="A1:D44"/>
  <sheetViews>
    <sheetView tabSelected="1" workbookViewId="0">
      <selection activeCell="B6" sqref="B6"/>
    </sheetView>
  </sheetViews>
  <sheetFormatPr defaultRowHeight="18.75" x14ac:dyDescent="0.4"/>
  <cols>
    <col min="2" max="2" width="9.875" bestFit="1" customWidth="1"/>
    <col min="3" max="3" width="10.25" bestFit="1" customWidth="1"/>
    <col min="4" max="4" width="16.75" bestFit="1" customWidth="1"/>
  </cols>
  <sheetData>
    <row r="1" spans="1:4" x14ac:dyDescent="0.4">
      <c r="A1" s="7" t="s">
        <v>64</v>
      </c>
    </row>
    <row r="2" spans="1:4" x14ac:dyDescent="0.4">
      <c r="B2" s="8" t="s">
        <v>60</v>
      </c>
    </row>
    <row r="3" spans="1:4" x14ac:dyDescent="0.4">
      <c r="C3" t="s">
        <v>22</v>
      </c>
      <c r="D3" t="s">
        <v>59</v>
      </c>
    </row>
    <row r="4" spans="1:4" x14ac:dyDescent="0.4">
      <c r="B4" t="s">
        <v>24</v>
      </c>
      <c r="C4" s="1">
        <f>67152+1387+11693+1897+3838+17404+514+37363+88687+2409+2185+8689</f>
        <v>243218</v>
      </c>
      <c r="D4" s="1">
        <v>0</v>
      </c>
    </row>
    <row r="5" spans="1:4" x14ac:dyDescent="0.4">
      <c r="B5" t="s">
        <v>25</v>
      </c>
      <c r="C5" s="1">
        <f>254258-C4</f>
        <v>11040</v>
      </c>
      <c r="D5" s="1">
        <v>0</v>
      </c>
    </row>
    <row r="6" spans="1:4" x14ac:dyDescent="0.4">
      <c r="B6" t="s">
        <v>54</v>
      </c>
      <c r="C6" s="1">
        <v>0</v>
      </c>
      <c r="D6" s="1">
        <v>245050</v>
      </c>
    </row>
    <row r="7" spans="1:4" x14ac:dyDescent="0.4">
      <c r="B7" t="s">
        <v>9</v>
      </c>
      <c r="C7" s="1">
        <v>0</v>
      </c>
      <c r="D7" s="1">
        <v>9208</v>
      </c>
    </row>
    <row r="10" spans="1:4" x14ac:dyDescent="0.4">
      <c r="B10" s="8" t="s">
        <v>61</v>
      </c>
    </row>
    <row r="11" spans="1:4" x14ac:dyDescent="0.4">
      <c r="C11" t="s">
        <v>22</v>
      </c>
      <c r="D11" t="s">
        <v>59</v>
      </c>
    </row>
    <row r="12" spans="1:4" x14ac:dyDescent="0.4">
      <c r="B12" t="s">
        <v>24</v>
      </c>
      <c r="C12" s="1">
        <v>2062</v>
      </c>
      <c r="D12" s="1">
        <v>0</v>
      </c>
    </row>
    <row r="13" spans="1:4" x14ac:dyDescent="0.4">
      <c r="B13" t="s">
        <v>25</v>
      </c>
      <c r="C13" s="1">
        <f>3539-C12</f>
        <v>1477</v>
      </c>
      <c r="D13" s="1">
        <v>0</v>
      </c>
    </row>
    <row r="14" spans="1:4" x14ac:dyDescent="0.4">
      <c r="B14" t="s">
        <v>54</v>
      </c>
      <c r="C14" s="1">
        <v>0</v>
      </c>
      <c r="D14" s="1">
        <f>SUM(C12:C13)-D15</f>
        <v>2202</v>
      </c>
    </row>
    <row r="15" spans="1:4" x14ac:dyDescent="0.4">
      <c r="B15" t="s">
        <v>9</v>
      </c>
      <c r="C15" s="1">
        <v>0</v>
      </c>
      <c r="D15" s="1">
        <v>1337</v>
      </c>
    </row>
    <row r="17" spans="1:4" x14ac:dyDescent="0.4">
      <c r="B17" s="8" t="s">
        <v>62</v>
      </c>
    </row>
    <row r="18" spans="1:4" x14ac:dyDescent="0.4">
      <c r="C18" t="s">
        <v>22</v>
      </c>
      <c r="D18" t="s">
        <v>59</v>
      </c>
    </row>
    <row r="19" spans="1:4" x14ac:dyDescent="0.4">
      <c r="B19" t="s">
        <v>24</v>
      </c>
      <c r="C19" s="1">
        <v>5717</v>
      </c>
      <c r="D19" s="1">
        <v>0</v>
      </c>
    </row>
    <row r="20" spans="1:4" x14ac:dyDescent="0.4">
      <c r="B20" t="s">
        <v>25</v>
      </c>
      <c r="C20" s="1">
        <v>9207</v>
      </c>
      <c r="D20" s="1">
        <v>0</v>
      </c>
    </row>
    <row r="21" spans="1:4" x14ac:dyDescent="0.4">
      <c r="B21" t="s">
        <v>54</v>
      </c>
      <c r="C21" s="1">
        <v>0</v>
      </c>
      <c r="D21" s="1">
        <v>9128</v>
      </c>
    </row>
    <row r="22" spans="1:4" x14ac:dyDescent="0.4">
      <c r="B22" t="s">
        <v>9</v>
      </c>
      <c r="C22" s="1">
        <v>0</v>
      </c>
      <c r="D22" s="1">
        <v>5795</v>
      </c>
    </row>
    <row r="24" spans="1:4" x14ac:dyDescent="0.4">
      <c r="A24" s="7" t="s">
        <v>63</v>
      </c>
    </row>
    <row r="25" spans="1:4" x14ac:dyDescent="0.4">
      <c r="B25" s="8" t="s">
        <v>67</v>
      </c>
    </row>
    <row r="26" spans="1:4" x14ac:dyDescent="0.4">
      <c r="C26">
        <v>1</v>
      </c>
      <c r="D26">
        <v>2</v>
      </c>
    </row>
    <row r="27" spans="1:4" x14ac:dyDescent="0.4">
      <c r="A27">
        <v>1279</v>
      </c>
      <c r="B27" t="s">
        <v>6</v>
      </c>
      <c r="C27" s="2">
        <f>A27/$A$27</f>
        <v>1</v>
      </c>
      <c r="D27" s="2">
        <v>0</v>
      </c>
    </row>
    <row r="28" spans="1:4" x14ac:dyDescent="0.4">
      <c r="A28">
        <v>364</v>
      </c>
      <c r="B28" t="s">
        <v>65</v>
      </c>
      <c r="C28" s="2">
        <v>0</v>
      </c>
      <c r="D28" s="2">
        <f t="shared" ref="D28:D30" si="0">A28/$A$27</f>
        <v>0.28459734167318218</v>
      </c>
    </row>
    <row r="29" spans="1:4" x14ac:dyDescent="0.4">
      <c r="A29">
        <f>A27-A28-A30</f>
        <v>794</v>
      </c>
      <c r="B29" t="s">
        <v>66</v>
      </c>
      <c r="C29" s="2">
        <v>0</v>
      </c>
      <c r="D29" s="2">
        <f t="shared" si="0"/>
        <v>0.6207974980453479</v>
      </c>
    </row>
    <row r="30" spans="1:4" x14ac:dyDescent="0.4">
      <c r="A30">
        <v>121</v>
      </c>
      <c r="B30" t="s">
        <v>47</v>
      </c>
      <c r="C30" s="2">
        <v>0</v>
      </c>
      <c r="D30" s="2">
        <f t="shared" si="0"/>
        <v>9.4605160281469897E-2</v>
      </c>
    </row>
    <row r="32" spans="1:4" x14ac:dyDescent="0.4">
      <c r="B32" s="8" t="s">
        <v>68</v>
      </c>
    </row>
    <row r="33" spans="1:4" x14ac:dyDescent="0.4">
      <c r="C33">
        <v>1</v>
      </c>
      <c r="D33">
        <v>2</v>
      </c>
    </row>
    <row r="34" spans="1:4" x14ac:dyDescent="0.4">
      <c r="A34" s="1">
        <f>116*130</f>
        <v>15080</v>
      </c>
      <c r="B34" t="s">
        <v>6</v>
      </c>
      <c r="C34" s="2">
        <f>A34/$A$34</f>
        <v>1</v>
      </c>
      <c r="D34" s="2">
        <v>0</v>
      </c>
    </row>
    <row r="35" spans="1:4" x14ac:dyDescent="0.4">
      <c r="A35" s="1">
        <f>25.2*130</f>
        <v>3276</v>
      </c>
      <c r="B35" t="s">
        <v>65</v>
      </c>
      <c r="C35" s="2">
        <v>0</v>
      </c>
      <c r="D35" s="2">
        <f>A35/$A$34</f>
        <v>0.21724137931034482</v>
      </c>
    </row>
    <row r="36" spans="1:4" x14ac:dyDescent="0.4">
      <c r="A36" s="1">
        <f>A34-A35-A37</f>
        <v>8047</v>
      </c>
      <c r="B36" t="s">
        <v>66</v>
      </c>
      <c r="C36" s="2">
        <v>0</v>
      </c>
      <c r="D36" s="2">
        <f t="shared" ref="D36:D37" si="1">A36/$A$34</f>
        <v>0.5336206896551724</v>
      </c>
    </row>
    <row r="37" spans="1:4" x14ac:dyDescent="0.4">
      <c r="A37" s="1">
        <f>28.9*130</f>
        <v>3757</v>
      </c>
      <c r="B37" t="s">
        <v>47</v>
      </c>
      <c r="C37" s="2">
        <v>0</v>
      </c>
      <c r="D37" s="2">
        <f t="shared" si="1"/>
        <v>0.24913793103448276</v>
      </c>
    </row>
    <row r="39" spans="1:4" x14ac:dyDescent="0.4">
      <c r="B39" s="8" t="s">
        <v>69</v>
      </c>
    </row>
    <row r="40" spans="1:4" x14ac:dyDescent="0.4">
      <c r="C40">
        <v>1</v>
      </c>
      <c r="D40">
        <v>2</v>
      </c>
    </row>
    <row r="41" spans="1:4" x14ac:dyDescent="0.4">
      <c r="A41" s="1">
        <v>872</v>
      </c>
      <c r="B41" t="s">
        <v>6</v>
      </c>
      <c r="C41" s="2">
        <f>A41/$A$41</f>
        <v>1</v>
      </c>
      <c r="D41" s="2">
        <v>0</v>
      </c>
    </row>
    <row r="42" spans="1:4" x14ac:dyDescent="0.4">
      <c r="A42" s="1">
        <v>61.3</v>
      </c>
      <c r="B42" t="s">
        <v>65</v>
      </c>
      <c r="C42" s="2">
        <v>0</v>
      </c>
      <c r="D42" s="2">
        <f>A42/$A$41</f>
        <v>7.0298165137614679E-2</v>
      </c>
    </row>
    <row r="43" spans="1:4" x14ac:dyDescent="0.4">
      <c r="A43" s="1">
        <f>A41-A42-A44</f>
        <v>577.80000000000007</v>
      </c>
      <c r="B43" t="s">
        <v>66</v>
      </c>
      <c r="C43" s="2">
        <v>0</v>
      </c>
      <c r="D43" s="2">
        <f t="shared" ref="D43:D44" si="2">A43/$A$41</f>
        <v>0.66261467889908265</v>
      </c>
    </row>
    <row r="44" spans="1:4" x14ac:dyDescent="0.4">
      <c r="A44" s="1">
        <v>232.9</v>
      </c>
      <c r="B44" t="s">
        <v>47</v>
      </c>
      <c r="C44" s="2">
        <v>0</v>
      </c>
      <c r="D44" s="2">
        <f t="shared" si="2"/>
        <v>0.26708715596330274</v>
      </c>
    </row>
  </sheetData>
  <phoneticPr fontId="5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収益性</vt:lpstr>
      <vt:lpstr>安全性</vt:lpstr>
      <vt:lpstr>成長性</vt:lpstr>
      <vt:lpstr>業界の比較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Homma, Masafumi</dc:creator>
  <cp:lastModifiedBy>user</cp:lastModifiedBy>
  <dcterms:created xsi:type="dcterms:W3CDTF">2023-06-14T17:56:47Z</dcterms:created>
  <dcterms:modified xsi:type="dcterms:W3CDTF">2023-06-17T18:28:59Z</dcterms:modified>
</cp:coreProperties>
</file>